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14520" windowHeight="12495"/>
  </bookViews>
  <sheets>
    <sheet name="Лист1" sheetId="1" r:id="rId1"/>
    <sheet name="Лист2" sheetId="2" r:id="rId2"/>
    <sheet name="Лист3" sheetId="3" r:id="rId3"/>
  </sheets>
  <definedNames>
    <definedName name="Print_Area" localSheetId="0">Лист1!$A$1:$J$750</definedName>
    <definedName name="_xlnm.Print_Titles" localSheetId="0">Лист1!$A:$J,Лист1!$10:$13</definedName>
    <definedName name="_xlnm.Print_Area" localSheetId="0">Лист1!$A$1:$J$745</definedName>
  </definedNames>
  <calcPr calcId="144525"/>
</workbook>
</file>

<file path=xl/calcChain.xml><?xml version="1.0" encoding="utf-8"?>
<calcChain xmlns="http://schemas.openxmlformats.org/spreadsheetml/2006/main">
  <c r="F737" i="1" l="1"/>
  <c r="F219" i="1"/>
  <c r="F575" i="1"/>
  <c r="F576" i="1"/>
  <c r="F603" i="1"/>
  <c r="F604" i="1"/>
  <c r="F608" i="1"/>
  <c r="F595" i="1"/>
  <c r="F596" i="1"/>
  <c r="F583" i="1"/>
  <c r="F584" i="1"/>
  <c r="F580" i="1"/>
  <c r="F579" i="1"/>
  <c r="F693" i="1" l="1"/>
  <c r="F689" i="1"/>
  <c r="F685" i="1"/>
  <c r="F612" i="1"/>
  <c r="F620" i="1"/>
  <c r="F215" i="1"/>
  <c r="F211" i="1"/>
  <c r="F207" i="1"/>
  <c r="F195" i="1"/>
  <c r="F191" i="1"/>
  <c r="F187" i="1"/>
  <c r="F641" i="1" l="1"/>
  <c r="F741" i="1" s="1"/>
  <c r="F681" i="1"/>
  <c r="H739" i="1" l="1"/>
  <c r="I739" i="1"/>
  <c r="E739" i="1"/>
  <c r="F739" i="1"/>
  <c r="G739" i="1"/>
  <c r="F653" i="1"/>
  <c r="D739" i="1" l="1"/>
  <c r="F628" i="1"/>
  <c r="F605" i="1"/>
  <c r="D605" i="1" s="1"/>
  <c r="D606" i="1"/>
  <c r="D607" i="1"/>
  <c r="D608" i="1" l="1"/>
  <c r="F601" i="1" l="1"/>
  <c r="D601" i="1" s="1"/>
  <c r="D602" i="1"/>
  <c r="D603" i="1"/>
  <c r="D604" i="1"/>
  <c r="F591" i="1"/>
  <c r="F592" i="1"/>
  <c r="F587" i="1"/>
  <c r="F588" i="1"/>
  <c r="F573" i="1" l="1"/>
  <c r="F552" i="1"/>
  <c r="F311" i="1"/>
  <c r="F621" i="1"/>
  <c r="D622" i="1"/>
  <c r="D623" i="1"/>
  <c r="D624" i="1"/>
  <c r="F560" i="1"/>
  <c r="F348" i="1"/>
  <c r="F615" i="1"/>
  <c r="F617" i="1"/>
  <c r="D618" i="1"/>
  <c r="D619" i="1"/>
  <c r="D620" i="1"/>
  <c r="F571" i="1"/>
  <c r="F381" i="1"/>
  <c r="F175" i="1"/>
  <c r="F18" i="1"/>
  <c r="D621" i="1" l="1"/>
  <c r="D617" i="1"/>
  <c r="G211" i="1"/>
  <c r="G207" i="1"/>
  <c r="F665" i="1" l="1"/>
  <c r="G360" i="1" l="1"/>
  <c r="G628" i="1" s="1"/>
  <c r="G279" i="1"/>
  <c r="G22" i="1"/>
  <c r="I638" i="1"/>
  <c r="I192" i="1"/>
  <c r="H192" i="1"/>
  <c r="G192" i="1"/>
  <c r="G277" i="1"/>
  <c r="G278" i="1"/>
  <c r="G276" i="1" l="1"/>
  <c r="G461" i="1"/>
  <c r="H628" i="1"/>
  <c r="I628" i="1"/>
  <c r="E58" i="1"/>
  <c r="E59" i="1"/>
  <c r="E89" i="1"/>
  <c r="E90" i="1"/>
  <c r="I694" i="1"/>
  <c r="I353" i="1"/>
  <c r="G457" i="1"/>
  <c r="G634" i="1"/>
  <c r="I690" i="1" l="1"/>
  <c r="I686" i="1"/>
  <c r="I685" i="1"/>
  <c r="I681" i="1" s="1"/>
  <c r="H685" i="1"/>
  <c r="H681" i="1" s="1"/>
  <c r="G685" i="1"/>
  <c r="G681" i="1" s="1"/>
  <c r="I679" i="1"/>
  <c r="I680" i="1"/>
  <c r="G349" i="1"/>
  <c r="H349" i="1"/>
  <c r="I349" i="1"/>
  <c r="G377" i="1"/>
  <c r="D377" i="1" s="1"/>
  <c r="G373" i="1"/>
  <c r="D373" i="1" s="1"/>
  <c r="G369" i="1"/>
  <c r="D369" i="1" s="1"/>
  <c r="G365" i="1"/>
  <c r="D365" i="1" s="1"/>
  <c r="G361" i="1"/>
  <c r="D361" i="1" s="1"/>
  <c r="D362" i="1"/>
  <c r="D363" i="1"/>
  <c r="D364" i="1"/>
  <c r="D366" i="1"/>
  <c r="D367" i="1"/>
  <c r="D368" i="1"/>
  <c r="D370" i="1"/>
  <c r="D371" i="1"/>
  <c r="D372" i="1"/>
  <c r="D374" i="1"/>
  <c r="D375" i="1"/>
  <c r="D376" i="1"/>
  <c r="D378" i="1"/>
  <c r="D379" i="1"/>
  <c r="D380" i="1"/>
  <c r="I345" i="1"/>
  <c r="H219" i="1"/>
  <c r="I212" i="1"/>
  <c r="I208" i="1"/>
  <c r="I204" i="1"/>
  <c r="I220" i="1"/>
  <c r="G219" i="1"/>
  <c r="G199" i="1" s="1"/>
  <c r="I197" i="1"/>
  <c r="I198" i="1"/>
  <c r="I199" i="1"/>
  <c r="I200" i="1"/>
  <c r="I630" i="1"/>
  <c r="I172" i="1"/>
  <c r="E177" i="1"/>
  <c r="E178" i="1"/>
  <c r="F177" i="1"/>
  <c r="F178" i="1"/>
  <c r="G177" i="1"/>
  <c r="G178" i="1"/>
  <c r="H177" i="1"/>
  <c r="H178" i="1"/>
  <c r="I177" i="1"/>
  <c r="I178" i="1"/>
  <c r="I18" i="1"/>
  <c r="H18" i="1"/>
  <c r="G18" i="1"/>
  <c r="G332" i="1"/>
  <c r="D332" i="1" s="1"/>
  <c r="D333" i="1"/>
  <c r="D334" i="1"/>
  <c r="D335" i="1"/>
  <c r="E241" i="1"/>
  <c r="D328" i="1"/>
  <c r="D329" i="1"/>
  <c r="D330" i="1"/>
  <c r="D331" i="1"/>
  <c r="G324" i="1"/>
  <c r="D324" i="1" s="1"/>
  <c r="D325" i="1"/>
  <c r="D326" i="1"/>
  <c r="D327" i="1"/>
  <c r="G336" i="1"/>
  <c r="D336" i="1" s="1"/>
  <c r="D320" i="1"/>
  <c r="D321" i="1"/>
  <c r="D322" i="1"/>
  <c r="D323" i="1"/>
  <c r="D337" i="1"/>
  <c r="D338" i="1"/>
  <c r="D339" i="1"/>
  <c r="I180" i="1"/>
  <c r="H179" i="1"/>
  <c r="I179" i="1"/>
  <c r="I184" i="1"/>
  <c r="I188" i="1"/>
  <c r="G288" i="1"/>
  <c r="D288" i="1" s="1"/>
  <c r="D289" i="1"/>
  <c r="D290" i="1"/>
  <c r="D291" i="1"/>
  <c r="G284" i="1"/>
  <c r="D284" i="1" s="1"/>
  <c r="G280" i="1"/>
  <c r="D280" i="1" s="1"/>
  <c r="D281" i="1"/>
  <c r="D282" i="1"/>
  <c r="D283" i="1"/>
  <c r="D285" i="1"/>
  <c r="D286" i="1"/>
  <c r="D287" i="1"/>
  <c r="G272" i="1"/>
  <c r="G32" i="1"/>
  <c r="G28" i="1"/>
  <c r="I657" i="1"/>
  <c r="I655" i="1"/>
  <c r="I656" i="1"/>
  <c r="I658" i="1"/>
  <c r="H661" i="1"/>
  <c r="H658" i="1" s="1"/>
  <c r="I662" i="1"/>
  <c r="G665" i="1"/>
  <c r="H740" i="1"/>
  <c r="H679" i="1"/>
  <c r="H680" i="1"/>
  <c r="H686" i="1"/>
  <c r="H690" i="1"/>
  <c r="H694" i="1"/>
  <c r="H655" i="1"/>
  <c r="H656" i="1"/>
  <c r="H665" i="1"/>
  <c r="H662" i="1" s="1"/>
  <c r="H670" i="1"/>
  <c r="H630" i="1"/>
  <c r="H638" i="1"/>
  <c r="H627" i="1"/>
  <c r="H345" i="1"/>
  <c r="H353" i="1"/>
  <c r="H342" i="1"/>
  <c r="H197" i="1"/>
  <c r="H198" i="1"/>
  <c r="H200" i="1"/>
  <c r="H204" i="1"/>
  <c r="H208" i="1"/>
  <c r="H212" i="1"/>
  <c r="H220" i="1"/>
  <c r="H172" i="1"/>
  <c r="H180" i="1"/>
  <c r="H184" i="1"/>
  <c r="H188" i="1"/>
  <c r="H341" i="1"/>
  <c r="I741" i="1" l="1"/>
  <c r="H216" i="1"/>
  <c r="H199" i="1"/>
  <c r="H343" i="1" s="1"/>
  <c r="H743" i="1"/>
  <c r="H15" i="1"/>
  <c r="I15" i="1"/>
  <c r="I343" i="1"/>
  <c r="I682" i="1"/>
  <c r="H682" i="1"/>
  <c r="I678" i="1"/>
  <c r="I196" i="1"/>
  <c r="H678" i="1"/>
  <c r="I654" i="1"/>
  <c r="I176" i="1"/>
  <c r="H744" i="1"/>
  <c r="H176" i="1"/>
  <c r="H625" i="1"/>
  <c r="H657" i="1"/>
  <c r="H741" i="1" s="1"/>
  <c r="H745" i="1" l="1"/>
  <c r="H742" i="1" s="1"/>
  <c r="H340" i="1"/>
  <c r="H738" i="1"/>
  <c r="H654" i="1"/>
  <c r="H196" i="1"/>
  <c r="F669" i="1" l="1"/>
  <c r="F183" i="1"/>
  <c r="F661" i="1"/>
  <c r="G661" i="1"/>
  <c r="F159" i="1" l="1"/>
  <c r="F135" i="1"/>
  <c r="F158" i="1" l="1"/>
  <c r="F134" i="1"/>
  <c r="F536" i="1" l="1"/>
  <c r="F572" i="1"/>
  <c r="F171" i="1"/>
  <c r="E247" i="1"/>
  <c r="F139" i="1"/>
  <c r="F47" i="1"/>
  <c r="F673" i="1"/>
  <c r="F613" i="1" l="1"/>
  <c r="D616" i="1"/>
  <c r="D615" i="1"/>
  <c r="D614" i="1"/>
  <c r="D613" i="1" l="1"/>
  <c r="F316" i="1"/>
  <c r="D316" i="1" s="1"/>
  <c r="D317" i="1"/>
  <c r="D318" i="1"/>
  <c r="D319" i="1"/>
  <c r="F574" i="1" l="1"/>
  <c r="F627" i="1"/>
  <c r="F103" i="1"/>
  <c r="F597" i="1" l="1"/>
  <c r="D597" i="1" s="1"/>
  <c r="D598" i="1"/>
  <c r="D599" i="1"/>
  <c r="D600" i="1"/>
  <c r="D574" i="1" l="1"/>
  <c r="D576" i="1"/>
  <c r="F626" i="1" l="1"/>
  <c r="D575" i="1"/>
  <c r="D573" i="1"/>
  <c r="F53" i="1"/>
  <c r="F54" i="1"/>
  <c r="F55" i="1"/>
  <c r="F51" i="1"/>
  <c r="F22" i="1" l="1"/>
  <c r="F52" i="1"/>
  <c r="D578" i="1" l="1"/>
  <c r="D579" i="1"/>
  <c r="D580" i="1"/>
  <c r="D582" i="1"/>
  <c r="D583" i="1"/>
  <c r="D584" i="1"/>
  <c r="D586" i="1"/>
  <c r="D587" i="1"/>
  <c r="D588" i="1"/>
  <c r="D590" i="1"/>
  <c r="D591" i="1"/>
  <c r="D592" i="1"/>
  <c r="D594" i="1"/>
  <c r="D595" i="1"/>
  <c r="D596" i="1"/>
  <c r="D610" i="1" l="1"/>
  <c r="D611" i="1"/>
  <c r="D612" i="1"/>
  <c r="F609" i="1"/>
  <c r="F203" i="1"/>
  <c r="F179" i="1" l="1"/>
  <c r="F199" i="1"/>
  <c r="D609" i="1"/>
  <c r="F593" i="1"/>
  <c r="D593" i="1" s="1"/>
  <c r="F589" i="1"/>
  <c r="D589" i="1" s="1"/>
  <c r="F585" i="1"/>
  <c r="D585" i="1" s="1"/>
  <c r="F581" i="1"/>
  <c r="D581" i="1" s="1"/>
  <c r="F577" i="1"/>
  <c r="D577" i="1" s="1"/>
  <c r="F50" i="1" l="1"/>
  <c r="F49" i="1"/>
  <c r="F48" i="1" l="1"/>
  <c r="F569" i="1" l="1"/>
  <c r="D569" i="1" s="1"/>
  <c r="D570" i="1"/>
  <c r="D571" i="1"/>
  <c r="D572" i="1"/>
  <c r="D566" i="1"/>
  <c r="D567" i="1"/>
  <c r="F556" i="1"/>
  <c r="F625" i="1" l="1"/>
  <c r="F83" i="1"/>
  <c r="F59" i="1" s="1"/>
  <c r="F141" i="1" l="1"/>
  <c r="F142" i="1"/>
  <c r="F143" i="1"/>
  <c r="F102" i="1" l="1"/>
  <c r="D313" i="1" l="1"/>
  <c r="D314" i="1"/>
  <c r="D315" i="1"/>
  <c r="F312" i="1"/>
  <c r="D312" i="1" s="1"/>
  <c r="D304" i="1" l="1"/>
  <c r="F168" i="1" l="1"/>
  <c r="D168" i="1" s="1"/>
  <c r="D169" i="1"/>
  <c r="D170" i="1"/>
  <c r="D171" i="1"/>
  <c r="F164" i="1"/>
  <c r="D164" i="1" s="1"/>
  <c r="D165" i="1"/>
  <c r="D166" i="1"/>
  <c r="D167" i="1"/>
  <c r="F160" i="1"/>
  <c r="D160" i="1" s="1"/>
  <c r="D161" i="1"/>
  <c r="D162" i="1"/>
  <c r="D163" i="1"/>
  <c r="F156" i="1"/>
  <c r="D148" i="1"/>
  <c r="D149" i="1"/>
  <c r="D150" i="1"/>
  <c r="D151" i="1"/>
  <c r="D152" i="1"/>
  <c r="D153" i="1"/>
  <c r="D154" i="1"/>
  <c r="D155" i="1"/>
  <c r="D157" i="1"/>
  <c r="D158" i="1"/>
  <c r="D159" i="1"/>
  <c r="F101" i="1"/>
  <c r="F136" i="1"/>
  <c r="D136" i="1" s="1"/>
  <c r="D137" i="1"/>
  <c r="D138" i="1"/>
  <c r="D139" i="1"/>
  <c r="D269" i="1"/>
  <c r="D270" i="1"/>
  <c r="D271" i="1"/>
  <c r="F140" i="1" l="1"/>
  <c r="D156" i="1"/>
  <c r="F45" i="1"/>
  <c r="F20" i="1" s="1"/>
  <c r="F46" i="1"/>
  <c r="F21" i="1" s="1"/>
  <c r="F58" i="1"/>
  <c r="F19" i="1" l="1"/>
  <c r="F216" i="1"/>
  <c r="G216" i="1"/>
  <c r="E693" i="1" l="1"/>
  <c r="E689" i="1"/>
  <c r="E211" i="1"/>
  <c r="E207" i="1"/>
  <c r="E219" i="1"/>
  <c r="E18" i="1"/>
  <c r="E195" i="1"/>
  <c r="E191" i="1"/>
  <c r="E547" i="1"/>
  <c r="E686" i="1" l="1"/>
  <c r="E266" i="1" l="1"/>
  <c r="E267" i="1"/>
  <c r="E262" i="1"/>
  <c r="E263" i="1"/>
  <c r="E258" i="1"/>
  <c r="E259" i="1"/>
  <c r="E254" i="1"/>
  <c r="E255" i="1"/>
  <c r="E250" i="1"/>
  <c r="E251" i="1"/>
  <c r="E243" i="1" s="1"/>
  <c r="E246" i="1"/>
  <c r="E242" i="1" s="1"/>
  <c r="E673" i="1"/>
  <c r="E215" i="1"/>
  <c r="E212" i="1" s="1"/>
  <c r="E187" i="1"/>
  <c r="E179" i="1" s="1"/>
  <c r="E216" i="1" l="1"/>
  <c r="E208" i="1"/>
  <c r="E685" i="1" l="1"/>
  <c r="E682" i="1" s="1"/>
  <c r="E568" i="1"/>
  <c r="D568" i="1" s="1"/>
  <c r="E681" i="1" l="1"/>
  <c r="D653" i="1"/>
  <c r="D652" i="1"/>
  <c r="D651" i="1"/>
  <c r="F650" i="1"/>
  <c r="D650" i="1" s="1"/>
  <c r="E627" i="1" l="1"/>
  <c r="E565" i="1"/>
  <c r="D565" i="1" s="1"/>
  <c r="D562" i="1"/>
  <c r="D563" i="1"/>
  <c r="D564" i="1"/>
  <c r="E561" i="1"/>
  <c r="D561" i="1" s="1"/>
  <c r="E384" i="1"/>
  <c r="E381" i="1" s="1"/>
  <c r="D454" i="1"/>
  <c r="D455" i="1"/>
  <c r="D456" i="1"/>
  <c r="D453" i="1"/>
  <c r="G220" i="1" l="1"/>
  <c r="G212" i="1"/>
  <c r="G208" i="1"/>
  <c r="G204" i="1"/>
  <c r="G200" i="1"/>
  <c r="F220" i="1"/>
  <c r="F212" i="1"/>
  <c r="F208" i="1"/>
  <c r="F204" i="1"/>
  <c r="F200" i="1"/>
  <c r="G682" i="1"/>
  <c r="F740" i="1" l="1"/>
  <c r="D224" i="1" l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E690" i="1" l="1"/>
  <c r="G690" i="1"/>
  <c r="F690" i="1"/>
  <c r="G686" i="1"/>
  <c r="F686" i="1"/>
  <c r="I342" i="1" l="1"/>
  <c r="G630" i="1"/>
  <c r="G342" i="1"/>
  <c r="D452" i="1"/>
  <c r="D451" i="1"/>
  <c r="D450" i="1"/>
  <c r="D448" i="1"/>
  <c r="D447" i="1"/>
  <c r="D446" i="1"/>
  <c r="D444" i="1"/>
  <c r="D443" i="1"/>
  <c r="D442" i="1"/>
  <c r="D440" i="1"/>
  <c r="D439" i="1"/>
  <c r="D438" i="1"/>
  <c r="D436" i="1"/>
  <c r="D435" i="1"/>
  <c r="D434" i="1"/>
  <c r="D432" i="1"/>
  <c r="D431" i="1"/>
  <c r="D430" i="1"/>
  <c r="D428" i="1"/>
  <c r="D427" i="1"/>
  <c r="D426" i="1"/>
  <c r="D424" i="1"/>
  <c r="D423" i="1"/>
  <c r="D422" i="1"/>
  <c r="D420" i="1"/>
  <c r="D419" i="1"/>
  <c r="D418" i="1"/>
  <c r="D416" i="1"/>
  <c r="D415" i="1"/>
  <c r="D414" i="1"/>
  <c r="D412" i="1"/>
  <c r="D411" i="1"/>
  <c r="D410" i="1"/>
  <c r="D408" i="1"/>
  <c r="D407" i="1"/>
  <c r="D406" i="1"/>
  <c r="D404" i="1"/>
  <c r="D403" i="1"/>
  <c r="D402" i="1"/>
  <c r="D400" i="1"/>
  <c r="D399" i="1"/>
  <c r="D398" i="1"/>
  <c r="D396" i="1"/>
  <c r="D395" i="1"/>
  <c r="D394" i="1"/>
  <c r="D392" i="1"/>
  <c r="D391" i="1"/>
  <c r="D390" i="1"/>
  <c r="D389" i="1"/>
  <c r="D388" i="1"/>
  <c r="D387" i="1"/>
  <c r="D386" i="1"/>
  <c r="D665" i="1"/>
  <c r="D664" i="1"/>
  <c r="D663" i="1"/>
  <c r="D661" i="1"/>
  <c r="D660" i="1"/>
  <c r="D659" i="1"/>
  <c r="D633" i="1"/>
  <c r="D632" i="1"/>
  <c r="D631" i="1"/>
  <c r="F657" i="1"/>
  <c r="D311" i="1"/>
  <c r="D310" i="1"/>
  <c r="D309" i="1"/>
  <c r="F738" i="1" l="1"/>
  <c r="G477" i="1"/>
  <c r="F477" i="1"/>
  <c r="G353" i="1"/>
  <c r="F353" i="1"/>
  <c r="D560" i="1"/>
  <c r="D559" i="1"/>
  <c r="D558" i="1"/>
  <c r="D556" i="1"/>
  <c r="D555" i="1"/>
  <c r="D554" i="1"/>
  <c r="D552" i="1"/>
  <c r="D551" i="1"/>
  <c r="D550" i="1"/>
  <c r="F557" i="1"/>
  <c r="D557" i="1" s="1"/>
  <c r="F553" i="1"/>
  <c r="D553" i="1" s="1"/>
  <c r="F549" i="1"/>
  <c r="D549" i="1" s="1"/>
  <c r="F308" i="1"/>
  <c r="D308" i="1" s="1"/>
  <c r="F533" i="1" l="1"/>
  <c r="F682" i="1"/>
  <c r="F349" i="1"/>
  <c r="F630" i="1"/>
  <c r="F734" i="1"/>
  <c r="G172" i="1"/>
  <c r="F172" i="1"/>
  <c r="F241" i="1"/>
  <c r="F242" i="1"/>
  <c r="F243" i="1"/>
  <c r="F268" i="1"/>
  <c r="D268" i="1" s="1"/>
  <c r="F57" i="1"/>
  <c r="F56" i="1" s="1"/>
  <c r="D87" i="1"/>
  <c r="D86" i="1"/>
  <c r="D85" i="1"/>
  <c r="F84" i="1"/>
  <c r="D84" i="1" s="1"/>
  <c r="D135" i="1"/>
  <c r="D134" i="1"/>
  <c r="D133" i="1"/>
  <c r="D101" i="1"/>
  <c r="F132" i="1"/>
  <c r="F100" i="1" s="1"/>
  <c r="F341" i="1"/>
  <c r="F44" i="1"/>
  <c r="F343" i="1" l="1"/>
  <c r="F745" i="1" s="1"/>
  <c r="D745" i="1" s="1"/>
  <c r="D132" i="1"/>
  <c r="F240" i="1"/>
  <c r="D83" i="1"/>
  <c r="D82" i="1"/>
  <c r="D81" i="1"/>
  <c r="F80" i="1"/>
  <c r="D80" i="1" s="1"/>
  <c r="F666" i="1"/>
  <c r="E666" i="1"/>
  <c r="E628" i="1" l="1"/>
  <c r="E204" i="1" l="1"/>
  <c r="E175" i="1"/>
  <c r="E172" i="1" s="1"/>
  <c r="E641" i="1"/>
  <c r="D736" i="1" l="1"/>
  <c r="D735" i="1"/>
  <c r="E734" i="1"/>
  <c r="D737" i="1"/>
  <c r="D732" i="1"/>
  <c r="D731" i="1"/>
  <c r="E730" i="1"/>
  <c r="D733" i="1"/>
  <c r="D729" i="1"/>
  <c r="D728" i="1"/>
  <c r="D727" i="1"/>
  <c r="D725" i="1"/>
  <c r="D724" i="1"/>
  <c r="D723" i="1"/>
  <c r="D721" i="1"/>
  <c r="D720" i="1"/>
  <c r="D719" i="1"/>
  <c r="D717" i="1"/>
  <c r="D716" i="1"/>
  <c r="D715" i="1"/>
  <c r="D713" i="1"/>
  <c r="D712" i="1"/>
  <c r="D711" i="1"/>
  <c r="D709" i="1"/>
  <c r="D708" i="1"/>
  <c r="D707" i="1"/>
  <c r="D705" i="1"/>
  <c r="D704" i="1"/>
  <c r="D703" i="1"/>
  <c r="E698" i="1"/>
  <c r="D701" i="1"/>
  <c r="D700" i="1"/>
  <c r="D699" i="1"/>
  <c r="G694" i="1"/>
  <c r="F694" i="1"/>
  <c r="E694" i="1"/>
  <c r="D697" i="1"/>
  <c r="D696" i="1"/>
  <c r="D695" i="1"/>
  <c r="D693" i="1"/>
  <c r="D692" i="1"/>
  <c r="D691" i="1"/>
  <c r="D689" i="1"/>
  <c r="D688" i="1"/>
  <c r="D687" i="1"/>
  <c r="D685" i="1"/>
  <c r="D684" i="1"/>
  <c r="D683" i="1"/>
  <c r="D682" i="1"/>
  <c r="G680" i="1"/>
  <c r="G679" i="1"/>
  <c r="F680" i="1"/>
  <c r="F679" i="1"/>
  <c r="E680" i="1"/>
  <c r="E679" i="1"/>
  <c r="D677" i="1"/>
  <c r="D676" i="1"/>
  <c r="D675" i="1"/>
  <c r="D673" i="1"/>
  <c r="D672" i="1"/>
  <c r="D671" i="1"/>
  <c r="G670" i="1"/>
  <c r="F670" i="1"/>
  <c r="E670" i="1"/>
  <c r="D669" i="1"/>
  <c r="D668" i="1"/>
  <c r="D667" i="1"/>
  <c r="G657" i="1"/>
  <c r="G741" i="1" s="1"/>
  <c r="G656" i="1"/>
  <c r="G655" i="1"/>
  <c r="F656" i="1"/>
  <c r="F655" i="1"/>
  <c r="E657" i="1"/>
  <c r="E656" i="1"/>
  <c r="E655" i="1"/>
  <c r="G662" i="1"/>
  <c r="F662" i="1"/>
  <c r="E662" i="1"/>
  <c r="G658" i="1"/>
  <c r="F658" i="1"/>
  <c r="E658" i="1"/>
  <c r="D649" i="1"/>
  <c r="D648" i="1"/>
  <c r="D647" i="1"/>
  <c r="D645" i="1"/>
  <c r="D644" i="1"/>
  <c r="D643" i="1"/>
  <c r="G638" i="1"/>
  <c r="F638" i="1"/>
  <c r="E638" i="1"/>
  <c r="D641" i="1"/>
  <c r="D640" i="1"/>
  <c r="D639" i="1"/>
  <c r="D637" i="1"/>
  <c r="D636" i="1"/>
  <c r="D635" i="1"/>
  <c r="E634" i="1"/>
  <c r="E740" i="1" s="1"/>
  <c r="E630" i="1"/>
  <c r="D630" i="1" s="1"/>
  <c r="E545" i="1"/>
  <c r="D548" i="1"/>
  <c r="D547" i="1"/>
  <c r="D546" i="1"/>
  <c r="D543" i="1"/>
  <c r="D542" i="1"/>
  <c r="D544" i="1"/>
  <c r="E541" i="1"/>
  <c r="D539" i="1"/>
  <c r="D538" i="1"/>
  <c r="D540" i="1"/>
  <c r="D535" i="1"/>
  <c r="D534" i="1"/>
  <c r="D536" i="1"/>
  <c r="D532" i="1"/>
  <c r="D531" i="1"/>
  <c r="D530" i="1"/>
  <c r="D528" i="1"/>
  <c r="D527" i="1"/>
  <c r="D526" i="1"/>
  <c r="D524" i="1"/>
  <c r="D523" i="1"/>
  <c r="D522" i="1"/>
  <c r="D520" i="1"/>
  <c r="D519" i="1"/>
  <c r="D518" i="1"/>
  <c r="D516" i="1"/>
  <c r="D515" i="1"/>
  <c r="D514" i="1"/>
  <c r="D512" i="1"/>
  <c r="D511" i="1"/>
  <c r="D510" i="1"/>
  <c r="D508" i="1"/>
  <c r="D507" i="1"/>
  <c r="D506" i="1"/>
  <c r="D504" i="1"/>
  <c r="D503" i="1"/>
  <c r="D502" i="1"/>
  <c r="D500" i="1"/>
  <c r="D499" i="1"/>
  <c r="D498" i="1"/>
  <c r="D496" i="1"/>
  <c r="D495" i="1"/>
  <c r="D494" i="1"/>
  <c r="D492" i="1"/>
  <c r="D491" i="1"/>
  <c r="D490" i="1"/>
  <c r="D488" i="1"/>
  <c r="D487" i="1"/>
  <c r="D486" i="1"/>
  <c r="D484" i="1"/>
  <c r="D483" i="1"/>
  <c r="D482" i="1"/>
  <c r="D481" i="1"/>
  <c r="D480" i="1"/>
  <c r="D479" i="1"/>
  <c r="D478" i="1"/>
  <c r="E477" i="1"/>
  <c r="D476" i="1"/>
  <c r="D475" i="1"/>
  <c r="D474" i="1"/>
  <c r="D473" i="1"/>
  <c r="D464" i="1"/>
  <c r="D463" i="1"/>
  <c r="D462" i="1"/>
  <c r="D472" i="1"/>
  <c r="D471" i="1"/>
  <c r="D470" i="1"/>
  <c r="D469" i="1"/>
  <c r="D468" i="1"/>
  <c r="D467" i="1"/>
  <c r="D466" i="1"/>
  <c r="D465" i="1"/>
  <c r="D460" i="1"/>
  <c r="D459" i="1"/>
  <c r="D458" i="1"/>
  <c r="D384" i="1"/>
  <c r="D383" i="1"/>
  <c r="D382" i="1"/>
  <c r="D413" i="1"/>
  <c r="D359" i="1"/>
  <c r="D358" i="1"/>
  <c r="D356" i="1"/>
  <c r="D355" i="1"/>
  <c r="D354" i="1"/>
  <c r="D350" i="1"/>
  <c r="D352" i="1"/>
  <c r="D351" i="1"/>
  <c r="D348" i="1"/>
  <c r="D347" i="1"/>
  <c r="D346" i="1"/>
  <c r="G345" i="1"/>
  <c r="F345" i="1"/>
  <c r="E345" i="1"/>
  <c r="G179" i="1"/>
  <c r="G184" i="1"/>
  <c r="F184" i="1"/>
  <c r="E184" i="1"/>
  <c r="G188" i="1"/>
  <c r="F188" i="1"/>
  <c r="E188" i="1"/>
  <c r="F192" i="1"/>
  <c r="E192" i="1"/>
  <c r="D195" i="1"/>
  <c r="D194" i="1"/>
  <c r="D193" i="1"/>
  <c r="D191" i="1"/>
  <c r="D190" i="1"/>
  <c r="D189" i="1"/>
  <c r="D187" i="1"/>
  <c r="D186" i="1"/>
  <c r="D185" i="1"/>
  <c r="D183" i="1"/>
  <c r="D182" i="1"/>
  <c r="D181" i="1"/>
  <c r="G180" i="1"/>
  <c r="F180" i="1"/>
  <c r="E180" i="1"/>
  <c r="D307" i="1"/>
  <c r="D306" i="1"/>
  <c r="D305" i="1"/>
  <c r="D303" i="1"/>
  <c r="E300" i="1"/>
  <c r="D302" i="1"/>
  <c r="D301" i="1"/>
  <c r="E292" i="1"/>
  <c r="E296" i="1"/>
  <c r="D299" i="1"/>
  <c r="D298" i="1"/>
  <c r="D297" i="1"/>
  <c r="D295" i="1"/>
  <c r="D294" i="1"/>
  <c r="D293" i="1"/>
  <c r="D279" i="1"/>
  <c r="D278" i="1"/>
  <c r="D277" i="1"/>
  <c r="D275" i="1"/>
  <c r="D274" i="1"/>
  <c r="D273" i="1"/>
  <c r="D265" i="1"/>
  <c r="D261" i="1"/>
  <c r="D257" i="1"/>
  <c r="D253" i="1"/>
  <c r="D249" i="1"/>
  <c r="D245" i="1"/>
  <c r="G198" i="1"/>
  <c r="F198" i="1"/>
  <c r="E198" i="1"/>
  <c r="G197" i="1"/>
  <c r="F197" i="1"/>
  <c r="E197" i="1"/>
  <c r="D223" i="1"/>
  <c r="D222" i="1"/>
  <c r="D221" i="1"/>
  <c r="D219" i="1"/>
  <c r="D218" i="1"/>
  <c r="D217" i="1"/>
  <c r="D215" i="1"/>
  <c r="D214" i="1"/>
  <c r="D213" i="1"/>
  <c r="D211" i="1"/>
  <c r="D210" i="1"/>
  <c r="D209" i="1"/>
  <c r="D206" i="1"/>
  <c r="D205" i="1"/>
  <c r="E199" i="1"/>
  <c r="D203" i="1"/>
  <c r="D202" i="1"/>
  <c r="D201" i="1"/>
  <c r="D175" i="1"/>
  <c r="D174" i="1"/>
  <c r="D173" i="1"/>
  <c r="D147" i="1"/>
  <c r="D146" i="1"/>
  <c r="D145" i="1"/>
  <c r="G740" i="1" l="1"/>
  <c r="G343" i="1"/>
  <c r="G745" i="1" s="1"/>
  <c r="D662" i="1"/>
  <c r="F342" i="1"/>
  <c r="F340" i="1" s="1"/>
  <c r="E741" i="1"/>
  <c r="I745" i="1"/>
  <c r="E654" i="1"/>
  <c r="D679" i="1"/>
  <c r="D681" i="1"/>
  <c r="E678" i="1"/>
  <c r="F678" i="1"/>
  <c r="G678" i="1"/>
  <c r="F654" i="1"/>
  <c r="D680" i="1"/>
  <c r="D657" i="1"/>
  <c r="D656" i="1"/>
  <c r="D655" i="1"/>
  <c r="G654" i="1"/>
  <c r="D198" i="1"/>
  <c r="E176" i="1"/>
  <c r="G176" i="1"/>
  <c r="F176" i="1"/>
  <c r="D179" i="1"/>
  <c r="E533" i="1"/>
  <c r="D177" i="1"/>
  <c r="D178" i="1"/>
  <c r="D241" i="1"/>
  <c r="F196" i="1"/>
  <c r="G196" i="1"/>
  <c r="E196" i="1"/>
  <c r="D199" i="1"/>
  <c r="D197" i="1"/>
  <c r="D207" i="1"/>
  <c r="D141" i="1"/>
  <c r="D131" i="1"/>
  <c r="D130" i="1"/>
  <c r="D129" i="1"/>
  <c r="D127" i="1"/>
  <c r="D126" i="1"/>
  <c r="D125" i="1"/>
  <c r="D123" i="1"/>
  <c r="D122" i="1"/>
  <c r="D121" i="1"/>
  <c r="D119" i="1"/>
  <c r="D118" i="1"/>
  <c r="D117" i="1"/>
  <c r="D115" i="1"/>
  <c r="D114" i="1"/>
  <c r="D113" i="1"/>
  <c r="D111" i="1"/>
  <c r="D110" i="1"/>
  <c r="D109" i="1"/>
  <c r="D107" i="1"/>
  <c r="D106" i="1"/>
  <c r="D105" i="1"/>
  <c r="D97" i="1"/>
  <c r="E96" i="1"/>
  <c r="D95" i="1"/>
  <c r="D94" i="1"/>
  <c r="D93" i="1"/>
  <c r="E92" i="1"/>
  <c r="D79" i="1"/>
  <c r="D78" i="1"/>
  <c r="D77" i="1"/>
  <c r="D75" i="1"/>
  <c r="D74" i="1"/>
  <c r="D73" i="1"/>
  <c r="D71" i="1"/>
  <c r="D70" i="1"/>
  <c r="D69" i="1"/>
  <c r="D67" i="1"/>
  <c r="D66" i="1"/>
  <c r="D65" i="1"/>
  <c r="D63" i="1"/>
  <c r="D62" i="1"/>
  <c r="D61" i="1"/>
  <c r="D72" i="1"/>
  <c r="D68" i="1"/>
  <c r="D64" i="1"/>
  <c r="D92" i="1" l="1"/>
  <c r="E91" i="1"/>
  <c r="D654" i="1"/>
  <c r="D628" i="1"/>
  <c r="D57" i="1"/>
  <c r="G20" i="1"/>
  <c r="E20" i="1" l="1"/>
  <c r="D29" i="1"/>
  <c r="D41" i="1"/>
  <c r="D37" i="1"/>
  <c r="G15" i="1"/>
  <c r="F15" i="1"/>
  <c r="E15" i="1"/>
  <c r="D18" i="1"/>
  <c r="D17" i="1"/>
  <c r="D16" i="1"/>
  <c r="E341" i="1" l="1"/>
  <c r="D15" i="1"/>
  <c r="E264" i="1"/>
  <c r="E260" i="1"/>
  <c r="E256" i="1"/>
  <c r="E252" i="1"/>
  <c r="E248" i="1"/>
  <c r="E244" i="1"/>
  <c r="D381" i="1" l="1"/>
  <c r="I627" i="1"/>
  <c r="I625" i="1" s="1"/>
  <c r="G627" i="1"/>
  <c r="G625" i="1" s="1"/>
  <c r="D99" i="1"/>
  <c r="D98" i="1"/>
  <c r="I341" i="1"/>
  <c r="I743" i="1" s="1"/>
  <c r="G341" i="1"/>
  <c r="G743" i="1" s="1"/>
  <c r="E743" i="1"/>
  <c r="D96" i="1"/>
  <c r="E40" i="1"/>
  <c r="D40" i="1" s="1"/>
  <c r="E36" i="1"/>
  <c r="D36" i="1" s="1"/>
  <c r="E24" i="1"/>
  <c r="D24" i="1" s="1"/>
  <c r="E21" i="1"/>
  <c r="E342" i="1" s="1"/>
  <c r="E22" i="1"/>
  <c r="G19" i="1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734" i="1"/>
  <c r="D730" i="1"/>
  <c r="D726" i="1"/>
  <c r="D722" i="1"/>
  <c r="D718" i="1"/>
  <c r="D714" i="1"/>
  <c r="D710" i="1"/>
  <c r="D706" i="1"/>
  <c r="D702" i="1"/>
  <c r="D698" i="1"/>
  <c r="D694" i="1"/>
  <c r="D690" i="1"/>
  <c r="D686" i="1"/>
  <c r="D674" i="1"/>
  <c r="D670" i="1"/>
  <c r="D666" i="1"/>
  <c r="D658" i="1"/>
  <c r="D646" i="1"/>
  <c r="D642" i="1"/>
  <c r="D638" i="1"/>
  <c r="D634" i="1"/>
  <c r="D545" i="1"/>
  <c r="D541" i="1"/>
  <c r="D537" i="1"/>
  <c r="D529" i="1"/>
  <c r="D525" i="1"/>
  <c r="D521" i="1"/>
  <c r="D517" i="1"/>
  <c r="D513" i="1"/>
  <c r="D509" i="1"/>
  <c r="D505" i="1"/>
  <c r="D501" i="1"/>
  <c r="D497" i="1"/>
  <c r="D493" i="1"/>
  <c r="D489" i="1"/>
  <c r="D485" i="1"/>
  <c r="D477" i="1"/>
  <c r="D457" i="1"/>
  <c r="D449" i="1"/>
  <c r="D445" i="1"/>
  <c r="D441" i="1"/>
  <c r="D437" i="1"/>
  <c r="D433" i="1"/>
  <c r="D429" i="1"/>
  <c r="D425" i="1"/>
  <c r="D421" i="1"/>
  <c r="D417" i="1"/>
  <c r="D409" i="1"/>
  <c r="D405" i="1"/>
  <c r="D401" i="1"/>
  <c r="D397" i="1"/>
  <c r="D393" i="1"/>
  <c r="D385" i="1"/>
  <c r="D353" i="1"/>
  <c r="D349" i="1"/>
  <c r="D345" i="1"/>
  <c r="D296" i="1"/>
  <c r="D292" i="1"/>
  <c r="D272" i="1"/>
  <c r="D267" i="1"/>
  <c r="D266" i="1"/>
  <c r="D264" i="1"/>
  <c r="D263" i="1"/>
  <c r="D262" i="1"/>
  <c r="D260" i="1"/>
  <c r="D259" i="1"/>
  <c r="D258" i="1"/>
  <c r="D256" i="1"/>
  <c r="D255" i="1"/>
  <c r="D254" i="1"/>
  <c r="D252" i="1"/>
  <c r="D251" i="1"/>
  <c r="D250" i="1"/>
  <c r="D248" i="1"/>
  <c r="D247" i="1"/>
  <c r="D246" i="1"/>
  <c r="D244" i="1"/>
  <c r="D220" i="1"/>
  <c r="D216" i="1"/>
  <c r="D212" i="1"/>
  <c r="D208" i="1"/>
  <c r="D200" i="1"/>
  <c r="D192" i="1"/>
  <c r="D188" i="1"/>
  <c r="D184" i="1"/>
  <c r="D180" i="1"/>
  <c r="D172" i="1"/>
  <c r="D144" i="1"/>
  <c r="D128" i="1"/>
  <c r="D124" i="1"/>
  <c r="D120" i="1"/>
  <c r="D116" i="1"/>
  <c r="D112" i="1"/>
  <c r="D108" i="1"/>
  <c r="D104" i="1"/>
  <c r="D102" i="1"/>
  <c r="D60" i="1"/>
  <c r="D43" i="1"/>
  <c r="D42" i="1"/>
  <c r="D39" i="1"/>
  <c r="D38" i="1"/>
  <c r="D35" i="1"/>
  <c r="D34" i="1"/>
  <c r="D33" i="1"/>
  <c r="D31" i="1"/>
  <c r="D30" i="1"/>
  <c r="D27" i="1"/>
  <c r="D26" i="1"/>
  <c r="I740" i="1"/>
  <c r="D76" i="1"/>
  <c r="D28" i="1"/>
  <c r="D32" i="1"/>
  <c r="E343" i="1" l="1"/>
  <c r="E340" i="1" s="1"/>
  <c r="G744" i="1"/>
  <c r="G742" i="1" s="1"/>
  <c r="G738" i="1"/>
  <c r="D627" i="1"/>
  <c r="D625" i="1" s="1"/>
  <c r="E744" i="1"/>
  <c r="E19" i="1"/>
  <c r="F743" i="1"/>
  <c r="E88" i="1"/>
  <c r="I744" i="1"/>
  <c r="I742" i="1" s="1"/>
  <c r="F744" i="1"/>
  <c r="E240" i="1"/>
  <c r="D21" i="1"/>
  <c r="D243" i="1"/>
  <c r="D176" i="1"/>
  <c r="D678" i="1"/>
  <c r="D461" i="1"/>
  <c r="E625" i="1"/>
  <c r="D196" i="1"/>
  <c r="D142" i="1"/>
  <c r="D143" i="1"/>
  <c r="D242" i="1"/>
  <c r="D103" i="1"/>
  <c r="D740" i="1"/>
  <c r="E56" i="1"/>
  <c r="D58" i="1"/>
  <c r="D204" i="1"/>
  <c r="D90" i="1"/>
  <c r="D91" i="1"/>
  <c r="E738" i="1"/>
  <c r="I738" i="1"/>
  <c r="D341" i="1"/>
  <c r="D20" i="1"/>
  <c r="D22" i="1"/>
  <c r="D533" i="1"/>
  <c r="E745" i="1" l="1"/>
  <c r="D343" i="1"/>
  <c r="E742" i="1"/>
  <c r="F742" i="1"/>
  <c r="D140" i="1"/>
  <c r="D240" i="1"/>
  <c r="D19" i="1"/>
  <c r="D342" i="1"/>
  <c r="G340" i="1"/>
  <c r="D88" i="1"/>
  <c r="D741" i="1"/>
  <c r="D738" i="1" s="1"/>
  <c r="D743" i="1"/>
  <c r="D744" i="1"/>
  <c r="D340" i="1" l="1"/>
  <c r="D59" i="1"/>
  <c r="I340" i="1" l="1"/>
  <c r="D56" i="1"/>
  <c r="D276" i="1"/>
  <c r="D742" i="1" l="1"/>
  <c r="D300" i="1"/>
  <c r="D100" i="1" l="1"/>
  <c r="D360" i="1"/>
  <c r="G357" i="1"/>
  <c r="D357" i="1" s="1"/>
</calcChain>
</file>

<file path=xl/sharedStrings.xml><?xml version="1.0" encoding="utf-8"?>
<sst xmlns="http://schemas.openxmlformats.org/spreadsheetml/2006/main" count="1240" uniqueCount="269">
  <si>
    <t>к постановлению администрации города</t>
  </si>
  <si>
    <t>Наименование мероприятия</t>
  </si>
  <si>
    <t>Источник финансирования</t>
  </si>
  <si>
    <t>Ожидаемые результаты реализации</t>
  </si>
  <si>
    <t>Всего</t>
  </si>
  <si>
    <t>1.1. Содержание и текущий ремонт автомобильных дорог общего пользования местного значения</t>
  </si>
  <si>
    <t>МУП «Благоустройство»</t>
  </si>
  <si>
    <t>Местный бюджет</t>
  </si>
  <si>
    <t>Поддержание бесперебойного движения транспортных средств по автомобильным дорогам общего пользования местного значения и обеспечение безопасных условий движения</t>
  </si>
  <si>
    <t>1.2. Ремонт автомобильных дорог общего пользования местного значения, в том числе:</t>
  </si>
  <si>
    <t>УМХ и Г</t>
  </si>
  <si>
    <t>Всего, в том числе:</t>
  </si>
  <si>
    <t>Приведение автомобильных дорог общего пользования местного значения в нормативное состояние</t>
  </si>
  <si>
    <t>федеральный бюджет</t>
  </si>
  <si>
    <t>областной бюджет</t>
  </si>
  <si>
    <t>местный бюджет</t>
  </si>
  <si>
    <t xml:space="preserve">1.2.1. по ул. Лермонтова </t>
  </si>
  <si>
    <t>1.3. Ремонт дорожного покрытия проездов, в том числе:</t>
  </si>
  <si>
    <t>Приведение проездов в нормативное состояние</t>
  </si>
  <si>
    <t>1.3.1. у здания № 14 по ул. Архангельской</t>
  </si>
  <si>
    <t xml:space="preserve">1.3.2. вдоль многоквартирного дома № 5 по ул. Советской (со стороны фасада) </t>
  </si>
  <si>
    <t>Приведение тротуаров в нормативное состояние, устранение затоплений дождевыми и талыми водами</t>
  </si>
  <si>
    <t xml:space="preserve">Оборудование автомобильных дорог ограничивающими пешеходными ограждениями в соответствии с проектом организации дорожного движения
</t>
  </si>
  <si>
    <t>Повышение безопасности дорожного движения на светофорных объектах</t>
  </si>
  <si>
    <t>Поддержание бесперебойного функционирования объектов дренажно-ливневой канализации</t>
  </si>
  <si>
    <t>Поддержание бесперебойного функционирования светофорных объектов</t>
  </si>
  <si>
    <t>1.9.1. содержание объектов</t>
  </si>
  <si>
    <t>Поддержание бесперебойного функционирования объектов наружного освещения</t>
  </si>
  <si>
    <t>Снижение потребления электрической энергии на цели наружного освещения</t>
  </si>
  <si>
    <t>Обеспечение почасового учета электрической энергии на цели наружного освещения для расчетов по двуставочному тарифу</t>
  </si>
  <si>
    <t>Приведение дорожного покрытия площади им. В. И. Ленина в нормативное состояние</t>
  </si>
  <si>
    <t>Развитие улично-дорожной сети, создание парковочных мест</t>
  </si>
  <si>
    <t>Увеличение пропускной способности автомобильной дороги</t>
  </si>
  <si>
    <t>Повышение безопасности дорожного движения на нерегулируемых пешеходных переходах вблизи образовательных учреждений</t>
  </si>
  <si>
    <t>Проект организации дорожного движения на автомобильных дорогах общего пользования местного значения городского округа Архангельской области "Город Коряжма"</t>
  </si>
  <si>
    <t>Технические паспорта автомобильных дорог общего пользования местного значения городского округа Архангельской области "Город Коряжма"</t>
  </si>
  <si>
    <t>Заключения о техническом состоянии автомобильных дорог общего пользования местного значения городского округа Архангельской области "Город Коряжма"</t>
  </si>
  <si>
    <t>Восстановление объектов наружного освещения</t>
  </si>
  <si>
    <t>2.1. Содержание объектов озеленения</t>
  </si>
  <si>
    <t>МУП "Благоустройство"</t>
  </si>
  <si>
    <t>Поддержание объектов озеленения в надлежащем состоянии</t>
  </si>
  <si>
    <t>2.2. Содержание места массового отдыха граждан у водного объекта</t>
  </si>
  <si>
    <t>Благоустройство места массового отдыха граждан у водного объекта</t>
  </si>
  <si>
    <t>2.3. Содержание фонтанов</t>
  </si>
  <si>
    <t>Обеспечение функционирования фонтанов</t>
  </si>
  <si>
    <t>2.5. Приобретение оборудования для содержания улично-дорожной сети и объектов благоустройства, в том числе:</t>
  </si>
  <si>
    <t>Модернизация автопарка, механизация ручного труда</t>
  </si>
  <si>
    <t xml:space="preserve">2.5.1. автогрейдер </t>
  </si>
  <si>
    <t>2.5.2. самосвал на базе КАМАЗ грузоподъемностью до 13 тонн</t>
  </si>
  <si>
    <t>2.5.3. погрузчик фронтальный с объемом ковша 1,7-2,0м3</t>
  </si>
  <si>
    <t>МУП "ПУ ЖКХ"</t>
  </si>
  <si>
    <t>2.5.4. трактор МТЗ 82 с навесным оборудованием</t>
  </si>
  <si>
    <t>2.5.5. высоконапорный водоструйный аппарат Посейдон (для промывки ДЛК)</t>
  </si>
  <si>
    <t>2.5.6. виброплита (для уплотнения асфальто-бетонной смеси)</t>
  </si>
  <si>
    <t>2.5.7. бензиновая воздуходувка (для подготовительных работ по ямочному ремонту)</t>
  </si>
  <si>
    <t>2.5.8. разметочная машина</t>
  </si>
  <si>
    <t>2.5.9. снегометатель шнекороторный для трактора</t>
  </si>
  <si>
    <t>2.5.10. снегоуборщик бензиновый самоходный (2 шт.), мотоблок с навесным оборудованием (1 шт.)</t>
  </si>
  <si>
    <t>2.5.11. навесное оборудование на трактор (погрузчик фронтальный)</t>
  </si>
  <si>
    <t>2.5.11. навесное оборудование на трактор (щетка зимне-летняя с поливом)</t>
  </si>
  <si>
    <t>2.5.12. навесное оборудование на трактор (косилка)</t>
  </si>
  <si>
    <t>2.5.13. триммеры бензиновые (6 шт.)</t>
  </si>
  <si>
    <t>2.5.14. пила бензиновая (1 шт.)</t>
  </si>
  <si>
    <t>2.5.15. многофункциональная машина для прочистки канализации (1 шт.)</t>
  </si>
  <si>
    <t>2.5.16. измельчитель веток (1 шт.)</t>
  </si>
  <si>
    <t>Ликвидация аварийных деревьев на территории городского округа Архангельской области "Город Коряжма"</t>
  </si>
  <si>
    <t>Благоустройство территории</t>
  </si>
  <si>
    <t>МУП "Полигон", МУП "Благоустройство"</t>
  </si>
  <si>
    <t>Поддержание в надлежащем состоянии мест накопления ТКО</t>
  </si>
  <si>
    <t>Обеспечение нормативного уровня освещенности территории</t>
  </si>
  <si>
    <t>Обеспечение безопасности дорожного движения у пешеходного перехода напротив дома № 2 по пр. Ленина</t>
  </si>
  <si>
    <t>3.1. Обеспечение доступности услуг бань в связи с регулированием органами местного самоуправления тарифов</t>
  </si>
  <si>
    <t>МУП "Полигон"</t>
  </si>
  <si>
    <t>Обеспечение функционирования общего и душевого отделений бань</t>
  </si>
  <si>
    <t>МКУ «Организатор перевозок»</t>
  </si>
  <si>
    <t>Реализация функции управления и регулирования в сфере транспорта</t>
  </si>
  <si>
    <t>Поддержание пожарных гидрантов в надлежащем состоянии</t>
  </si>
  <si>
    <t>Отвод дождевых вод с проезжей части и тротуаров дворовой территории дома № 19 по ул. Архангельской</t>
  </si>
  <si>
    <t>Осуществление регулярных перевозок автомобильным транспортом по регулируемым тарифам по муниципальным маршрутам регулярных перевозок</t>
  </si>
  <si>
    <t>Изготовление и поставка защищенной полиграфической продукции уровня "В" "Карта маршрута регулярных перевозок",  "Специальное разрешение на движение по автомобильным дорогам тяжеловесного и (или) крупногабаритного транспортного средства", "Свидетельство об осуществлении перевозок по маршруту регулярных перевозок"</t>
  </si>
  <si>
    <t>Экспертиза (проверка достоверности) сметной документации</t>
  </si>
  <si>
    <t>Обеспечение безопасности, сохранности объектов благоустройства</t>
  </si>
  <si>
    <t>Содержание Обелиска Славы в надлежащем состоянии, обеспечение бесперебойного функционирования вечного огня</t>
  </si>
  <si>
    <t>Программное обеспечение, предназначенное для выдачи разрешений и согласований проезда тяжеловесного и крупногабаритного транспорта</t>
  </si>
  <si>
    <t>Восстановление здания</t>
  </si>
  <si>
    <t>МУП "Горсвет"</t>
  </si>
  <si>
    <t>Доставка оборудования</t>
  </si>
  <si>
    <t>Заключение о техническом состоянии кирпичной кладки и кровли здания бани, необходимости ремонтных работ и их перечня</t>
  </si>
  <si>
    <t>Приведение в соответствие с требованиями законодательства технических заключений о состоянии строительных конструкций многоквартирных домов</t>
  </si>
  <si>
    <t>Итого по программе, в том числе:</t>
  </si>
  <si>
    <t xml:space="preserve">1.2.4. по ул. Кутузова </t>
  </si>
  <si>
    <t>1.2.5. по ул. Строителей</t>
  </si>
  <si>
    <t>1.3.3. к дворовой территории дома № 15Б по ул. Советской (от проезжей части ул. Советской)</t>
  </si>
  <si>
    <t>1.3.4. вдоль домов № 8, 6 по ул. имени Дыбцына до проезжей части ул. имени Дыбцына</t>
  </si>
  <si>
    <t>1.4. Ремонт, устройство, поднятие тротуаров, в том числе:</t>
  </si>
  <si>
    <t>1.5.1. по ул. Лермонтова (на перекрестке с ул. Кутузова)</t>
  </si>
  <si>
    <t>1.5.2. по ул. Лермонтова (на перекрестке с ул. имени Дыбцына)</t>
  </si>
  <si>
    <t>1.5.3. по ул. Кутузова (на перекрестке с ул. Лермонтова)</t>
  </si>
  <si>
    <t>1.5.4. ул. имени Дыбцына (на перекрестке с ул. Лермонтова)</t>
  </si>
  <si>
    <t>1.5.5. по пр. имени М. В. Ломоносова (нечетная сторона аллеи)</t>
  </si>
  <si>
    <t>1.5.6. по пр. имени М. В. Ломоносова (четная сторона аллеи)</t>
  </si>
  <si>
    <t>1.5.7. по ул. Архангельской (напротив здания поликлиники ГБУЗ АО "Коряжемская городская больница")</t>
  </si>
  <si>
    <t>1.6. Установка светофоров с изменением фаз светофорного регулирования, модернизация светофорных объектов, в том числе:</t>
  </si>
  <si>
    <t>1.6.1. перекресток пр. Ленина - ул. Советская</t>
  </si>
  <si>
    <t>1.6.3. перекресток ул. Архангельская - ул. Советская</t>
  </si>
  <si>
    <t>1.6.4. перекресток ул. Архангельская - ул. Пушкина</t>
  </si>
  <si>
    <t>1.7. Содержание объектов дренажно-ливневой канализации</t>
  </si>
  <si>
    <t>1.8. Содержание светофорных объектов, в том числе:</t>
  </si>
  <si>
    <t>1.8.1. содержание объектов</t>
  </si>
  <si>
    <t>1.8.2. покупка электрической энергии</t>
  </si>
  <si>
    <t>1.8.3. передача электрической энергии</t>
  </si>
  <si>
    <t>1.9. Содержание объектов наружного освещения, в том числе:</t>
  </si>
  <si>
    <t>1.9.2. передача электрической энергии</t>
  </si>
  <si>
    <t>1.9.3. покупка электрической энергии</t>
  </si>
  <si>
    <t>1.9.4. электроснабжение ул. Низовки</t>
  </si>
  <si>
    <t>1.9.5. выполнение энергоэффективных мероприятий, направленных на энергосбережение и повышение энергетической эффективности использования электрической энергии для целей наружного освещения на территории муниципального образования "Город Коряжма"</t>
  </si>
  <si>
    <t>1.9.6. содержание системы автоматизированного учета электрической энергии по объектам наружного освещения</t>
  </si>
  <si>
    <t>1.10. Благоустройство площади им. В. И. Ленина. Ремонт дорожного покрытия, 2 этап</t>
  </si>
  <si>
    <t>1.11. Устройство парковки вдоль проезда со стороны главного входа в здание ГАУ АО "МФЦ"</t>
  </si>
  <si>
    <t>1.12. Устройство временной стоянки у городской поликлиники</t>
  </si>
  <si>
    <t>1.13. Оборудование светофора на перекрестке улиц Архангельская - Пушкина дополнительной секцией "Стрелка"</t>
  </si>
  <si>
    <t>2.7.1. на пр. Ленина (поставка праздничных световых изделий)</t>
  </si>
  <si>
    <t>2.7.2. на пр. Ленина (монтаж воздушной линии электропередач, праздничных консолей, перетяжек)</t>
  </si>
  <si>
    <t>2.8. Ремонт ограждения спортивной площадки у д. № 45 по пр. Ленина</t>
  </si>
  <si>
    <t>2.10.1. по ул. Строителей, Калинина, Чапаева, Дзержинского (у д. № 47)</t>
  </si>
  <si>
    <t>2.22. Обустройство освещения проезжей части дороги по пр. Ленина, ведущей от перекрёстка с ул. Глейха к границе с Котласским районом</t>
  </si>
  <si>
    <t>3.3. Содержание МКУ "Организатор перевозок"</t>
  </si>
  <si>
    <t xml:space="preserve">3.4. Ремонт и ревизия пожарных гидрантов </t>
  </si>
  <si>
    <t>3.5. Отвод дождевых вод у дома № 19 по ул. Архангельской</t>
  </si>
  <si>
    <t>«Развитие городского хозяйства на территории городского округа</t>
  </si>
  <si>
    <t xml:space="preserve">Архангельской области «Город Коряжма» </t>
  </si>
  <si>
    <t>Объем финансирования, руб.</t>
  </si>
  <si>
    <t>1.8.4. энергоснабжение светофорного объекта на перекрестке ул. имени Дыбцына - ул. Складская - ул. Гаражная</t>
  </si>
  <si>
    <t>Задача 1 программы. Обеспечение безопасности дорожного движения на территории городского округа Архангельской области  «Город Коряжма».</t>
  </si>
  <si>
    <t>Задача 3 программы. Обеспечение организации и выполнения работ по развитию городского хозяйства на территории городского округа Архангельской области  «Город Коряжма».</t>
  </si>
  <si>
    <t>Ответственный исполнитель, соисполнитель</t>
  </si>
  <si>
    <t>ПЕРЕЧЕНЬ МЕРОПРИЯТИЙ</t>
  </si>
  <si>
    <t>муниципальной программы</t>
  </si>
  <si>
    <t>Итого по Задаче 1, в том числе:</t>
  </si>
  <si>
    <t>МУП "Благоустройство", МУП "ПУ ЖКХ"</t>
  </si>
  <si>
    <t>Итого по Задаче 3, в том числе:</t>
  </si>
  <si>
    <t>Итого по Задаче 2, в том числе:</t>
  </si>
  <si>
    <t>Задача 2 программы. Повышение эффективности работ по благоустройству, озеленению и поддержанию благополучной санитарно-эпидемиологической обстановки на территории городского округа Архангельской области  «Город Коряжма».</t>
  </si>
  <si>
    <t>Актуализированная схема водоснабжения и водоотведения городского округа Архангельской области "Город Коряжма"</t>
  </si>
  <si>
    <t xml:space="preserve">Обеспечение нормативного уровня освещенности, восстановление объектов наружного освещения, повышение безопасности дорожного движения на нерегулируемых пешеходных переходах </t>
  </si>
  <si>
    <t>1.3.2. Ремонт дорожного покрытия въезда между д. № 12 по ул. Пушкина и МДОУ № 10</t>
  </si>
  <si>
    <t>1.10. Модернизация нерегулируемых пешеходных переходов</t>
  </si>
  <si>
    <t>1.13. Разработка проекта организации дорожного движения на автомобильных дорогах общего пользования местного значения городского округа Архангельской области "Город Коряжма"</t>
  </si>
  <si>
    <t>1.14. Разработка технических паспортов автомобильных дорог общего пользования местного значения городского округа Архангельской области "Город Коряжма"</t>
  </si>
  <si>
    <t>1.15. Оценка технического состояния автомобильных дорог общего пользования местного значения городского округа Архангельской области "Город Коряжма"</t>
  </si>
  <si>
    <t>1.16. Восстановление оборудования наружного освещения по адресу г. Коряжма, ул. имени А. Г. Глейха (напротив дома №16), поврежденного в результате ДТП</t>
  </si>
  <si>
    <t>1.17. Обустройство наружного освещения нерегулируемого пешеходного перехода на автомобильной дороге по ул. Строителей напротив здания № 54</t>
  </si>
  <si>
    <t>2.5.2. снегоуборщик бензиновый самоходный (2 шт.), мотоблок с навесным оборудованием (1 шт.)</t>
  </si>
  <si>
    <t>2.5.3. навесное оборудование на трактор (погрузчик фронтальный)</t>
  </si>
  <si>
    <t>2.5.4. навесное оборудование на трактор (щетка зимне-летняя с поливом)</t>
  </si>
  <si>
    <t>2.5.5. навесное оборудование на трактор (косилка)</t>
  </si>
  <si>
    <t>2.5.6. триммеры бензиновые (6 шт.)</t>
  </si>
  <si>
    <t>2.5.7. пила бензиновая (1 шт.)</t>
  </si>
  <si>
    <t>2.5.8. многофункциональная машина для прочистки канализации (1 шт.)</t>
  </si>
  <si>
    <t>2.5.9. измельчитель веток (1 шт.)</t>
  </si>
  <si>
    <t>2.8. Содержание контейнерных площадок</t>
  </si>
  <si>
    <t>2.9. Обустройство наружного освещения от МДОУ "Детский сад № 18 "Сказка" до дома № 16Б по ул. имени А. Г. Глейха</t>
  </si>
  <si>
    <t>2.10. Обустройство наружного освещения в районе контейнерной площадки между ГАУЗ АО "Коряжемская стомоталогическая поликлиника" и домом № 45Б по пр. Ленина</t>
  </si>
  <si>
    <t>2.11. Обустройство наружного освещения у пешеходного перехода через пр. Ленина напротив дома № 2 по пр. Ленина</t>
  </si>
  <si>
    <t>2.12. Планировка территории по ул. Архангельской напротив здания городской поликлиники</t>
  </si>
  <si>
    <t>2.13. Замена опоры наружного освещения по адресу ул. Набережная им. Н. островского д. 30</t>
  </si>
  <si>
    <t>2.14. Устройство дополнительного освещения у д. № 78 и 78А корп. 1 по ул. Набережной им. Н. Островского</t>
  </si>
  <si>
    <t>2.15. Установка дополнительной опоры наружного освещения на дворовой территории д. № 25 по ул. Архангельской у детского игрового городка</t>
  </si>
  <si>
    <t>2.16. Восстановление наклоненных опор наружного освещения</t>
  </si>
  <si>
    <t>2.17. Замена опоры наружного освещения в районе здания № 10 по ул. Советской</t>
  </si>
  <si>
    <t>2.18. Планировка территории Набережной р. Бол. Коряжемка от храма в сторону ул. Советской</t>
  </si>
  <si>
    <t>2.19. Свод аварийных деревьев на территории старого Коряжемского городского кладбища</t>
  </si>
  <si>
    <t>2.20. Уничтожение борщевика Сосновского на территории городского округа Архангельской области "Город Коряжма"</t>
  </si>
  <si>
    <t>2.21. Обустройство наружного освещения в районе контейнерной площадки между МДОУ "Детский сад № 18 "Сказка" и МОУ "СОШ № 6"</t>
  </si>
  <si>
    <t>3.9. Приобретение урн для установки на улицах города</t>
  </si>
  <si>
    <t>1.2.6. по ул. им. М.Х. Сафьяна</t>
  </si>
  <si>
    <t>1.5. Установка ограничивающих пешеходных ограждений, в том числе:</t>
  </si>
  <si>
    <t>1.18. Восстановление оборудования наружного освещения по адресу: г. Коряжма, ул. Лермонтова, 29, поврежденного в результате ДТП</t>
  </si>
  <si>
    <t xml:space="preserve">1.5.1. вдоль тротуара по ул. Набережная им. Н. Островского (со стороны сквера по ул. Театральной) </t>
  </si>
  <si>
    <t xml:space="preserve">1.5.2. на автомобильной дороге по ул. имени Дыбцына на перекрестке с ул. Лермонтова </t>
  </si>
  <si>
    <t>1.2.7. по ул.имени А.Г.Глейха на участке от пересечения с автомобильной дорогой "Чекшино-Тотьма-Котлас-Куратово" до пешеходного перехода в районе дома № 18 по ул.имени А.Г.Глейха</t>
  </si>
  <si>
    <t>1.2.8. по ул. Архангельской от пересечения с автомобильной дорогой по ул. имени А.Г. Глейха в сторону ГБУЗ АО Коряжемская городская больница</t>
  </si>
  <si>
    <t>3.4. Актуализация схем теплоснабжения, водоснабжения и водоотведения с разработкой интерактивной карты городского округа Архангельской области «Город Коряжма»</t>
  </si>
  <si>
    <t>3.13. Ремонт здания участка озеленения по ул. Лермонтова, д. 18</t>
  </si>
  <si>
    <t>3.14. Обустройство водоотводной канавы вдоль стадиона МОУ "СОШ № 7"</t>
  </si>
  <si>
    <t>3.15. Устройство канавы вдоль ул. Лесной</t>
  </si>
  <si>
    <t>3.16. Снос деревянных построек</t>
  </si>
  <si>
    <t>3.17. Замена баннеров для скамеек в парке Ломоносовский</t>
  </si>
  <si>
    <t>3.18. Косметический ремонт трансформаторной подстанции в сквере по ул. Театральной за зданием МУ "ККДЦ"</t>
  </si>
  <si>
    <t>3.19. Доставка оборудования для содержания улично-дорожной сети и объектов благоустройства</t>
  </si>
  <si>
    <t>1.19.Приобретение световых секций для светофорного объекта</t>
  </si>
  <si>
    <t>1.20. Расчистка водоотводных канав автомобильной дороги по ул. Рождественской мкр. "Зеленый-1"</t>
  </si>
  <si>
    <t>Приведение в нормативное состояние, устранение затоплений дождевыми и талыми водами</t>
  </si>
  <si>
    <t>1.2.2.  "Проезд от торгового центра "Парма" до пр. имени М. В. Ломоносова"</t>
  </si>
  <si>
    <t>1.2.3. по ул. Матросова</t>
  </si>
  <si>
    <t>1.11. Устройство пешеходного перехода через автомобильную дорогу по ул. Набережной им. Н. Островского напротив дома № 44</t>
  </si>
  <si>
    <t>1.12. Установка дорожных знаков:</t>
  </si>
  <si>
    <t>1.12.1. на автомобильной дороге по ул. Рождественской</t>
  </si>
  <si>
    <t>1.12.2. на автомобильной дороге по ул. Благодатной</t>
  </si>
  <si>
    <t>1.12.2. на автомобильной дороге по ул. Вешней</t>
  </si>
  <si>
    <t>1.22. Устройство дренажно-ливневого колодца д. № 19 по ул. Архангельской</t>
  </si>
  <si>
    <t>1.21. Устройство дополнительного колодца дренажно-ливневой канализации для водоотведения с тротуара ул. Набережной им. Н. Островского в районе ФДОД "ДДТ" МОУ "СОШ № 1"</t>
  </si>
  <si>
    <t xml:space="preserve">1.10.1. автомобильная дорога по ул. Кирова напротив МДОУ "Детский сад № 17 "Аленький цветочек" (ул. Кирова, д. 4) </t>
  </si>
  <si>
    <t xml:space="preserve">1.10.2. автомобильная дорога по ул. Набережной им. Н. Островского в районе ФДОД "ДДТ" МОУ "СОШ № 1 г. Коряжмы" </t>
  </si>
  <si>
    <t>1.10.3. автомобильная дорога по ул. Космонавтов напротив МБУ ДО "Коряжемская ДШИ"</t>
  </si>
  <si>
    <t>1.10.4 на проезде от пр. Ленина до ул. Архангельской напротив МОУ "СОШ № 6"</t>
  </si>
  <si>
    <t>1.10.5.на проезде от пр. Ленина до ул. Архангельской  напротив МДОУ "Детский сад № 18 "Сказка"</t>
  </si>
  <si>
    <t>1.10.6. автомобильная дорога "Проезд от торгового центра "Парма" до пр. им. М. В. Ломоносова" напротив МДОУ "Детский сад комбинированного вида № 2 "Парусок"</t>
  </si>
  <si>
    <t xml:space="preserve">1.10.7. автомобильная дорога по ул. Гоголя в районе МОУ "СОШ №2" </t>
  </si>
  <si>
    <t>1.23. Замена ламповых светофоров на светодиодные светофорного объекта пр. Ленина - ул. Советская</t>
  </si>
  <si>
    <t>1.24. Поставка дорожного знака 5.19.1/5.19.2 (пешеходный переход) с внутренней светодиодной подсветкой</t>
  </si>
  <si>
    <t>2.4. Устройство дополнительного наружного освещения:</t>
  </si>
  <si>
    <t>2.4.1. пешеходного перехода по ул. Архангельской напротив здания № 48</t>
  </si>
  <si>
    <t>2.4.2.  автомобильной дороги по ул. Кутузова на перекрестке с ул. Лермонтова (нечетная сторона)</t>
  </si>
  <si>
    <t>2.4.3.автомобильной дороги по ул. Кутузова на перекрестке с ул. Лермонтова (четная сторона)</t>
  </si>
  <si>
    <t>2.4.4.автомобильной дороги по ул. Кутузова на перекрестке с ул. имени М. Х. Сафьяна</t>
  </si>
  <si>
    <t>2.4.5. проезда за д. № 49А по пр. Ленина</t>
  </si>
  <si>
    <t>3.2. Устройство системы видеонаблюдения на площадке для проведения массовых мероприятий по ул. Набережной им. Н. Островского</t>
  </si>
  <si>
    <t>2.6. Свод деревьев по нечетной стороне ул. имени Дыбцына от ул. Лермонтова до ул. имени М. Х. Сафьяна</t>
  </si>
  <si>
    <t>1.4.1. Устройство тротуара вдоль автомобильной дороги "Проезд от пр. Ленина до ул. Архангельской в районе МОУ "СОШ № 6" на участке от въезда на дворовую территорию д. № 7 по ул. Советской до МОУ "СОШ № 6"</t>
  </si>
  <si>
    <t>1.4.2. Ремонт тротуара автомобильной дороги "Проезд от торгового центра "Парма" до пр. имени М.В. Ломоносова" у д. № 8 по ул. Советской</t>
  </si>
  <si>
    <t xml:space="preserve">1.6.1. перекресток улиц Архангельская - Пушкина </t>
  </si>
  <si>
    <t xml:space="preserve">1.6.2. перекресток ул. Архангельская - пр. имени М.В. Ломоносова </t>
  </si>
  <si>
    <t xml:space="preserve">1.6.3. перекресток улиц Архангельская - Советская </t>
  </si>
  <si>
    <t xml:space="preserve">1.6.4. перекресток улиц Архангельская - имени А.Г. Глейха </t>
  </si>
  <si>
    <t>2.5.1. комбинированная машина (1 шт.)</t>
  </si>
  <si>
    <t>1.3.1.Ремонт въездов во дворовые территории с ул. Архангельской (12 въездов)</t>
  </si>
  <si>
    <t>1.3.2.Ремонт проезда от автомомбильной дороги по ул. Советсвкой до мкр. "Радуга"</t>
  </si>
  <si>
    <t>Повышение безопасности дорожного движения на автомобильных дорогах</t>
  </si>
  <si>
    <t xml:space="preserve">Повышение безопасности дорожного движения </t>
  </si>
  <si>
    <t>Приведение в нормативное состояние</t>
  </si>
  <si>
    <t>2.7.  Демонтаж бетонного ограждения, расположенного на общественной территории за зданием № 1 по ул. имени Дыбцына</t>
  </si>
  <si>
    <t>2.9. Устройство подъездных путей к контейнерной площадке по ул. им. М.Х. Сафьяна у д. № 15</t>
  </si>
  <si>
    <t>2.10. Обустройство наружного освещения по пр. Ленина (нечетная сторона от Александровского парка до ул. Советской)</t>
  </si>
  <si>
    <t>2.11. Обустройство наружного освещения детской игровой площадки у дома № 12 по ул. имени Дыбцына</t>
  </si>
  <si>
    <t>2.12. Обустройство дополнительного наружного освещения на детской площадке по адресу: г. Коряжма, пр. Ленина, д. 13</t>
  </si>
  <si>
    <t>2.13. Обустройство дополнительного наружного освещения на детской площадке по адресу: г. Коряжма, пр. Архангельская, д. 3</t>
  </si>
  <si>
    <t>2.14. Свод тополей по ул. Матросова</t>
  </si>
  <si>
    <t>2.15. Обустройство дополнительного наружного освещения у д. № 4 и № 6 по ул. Советской</t>
  </si>
  <si>
    <t>2.16. Установка дополнительных светильников в микрорайоне "Заречье"</t>
  </si>
  <si>
    <t>2.17. Создание места (площадки) накопления (в том числе раздельного накопления) ТКО:</t>
  </si>
  <si>
    <t xml:space="preserve">2.17.1. между домами № 14 и № 16 по ул.Театральная </t>
  </si>
  <si>
    <t xml:space="preserve">2.17.2.  у проезда от пересечения улиц Чапаева и Лесная в сторону ГСК (рядом с недостроенным зданием следственного изолятора) </t>
  </si>
  <si>
    <t xml:space="preserve">2.17.3. в конце ул.Свердлова за домами № 55, № 56 </t>
  </si>
  <si>
    <t xml:space="preserve">2.17.4. на выезде с территории микрорайона "Радуга", напротив домов № 78Б и № 80Б по ул.Набережная им.Н.Островского </t>
  </si>
  <si>
    <t xml:space="preserve">2.17.5.  между МОУ "СОШ № 6" и МДОУ "Детский сад № 18" </t>
  </si>
  <si>
    <t>2.19. Обустройство наружного освещения вдоль тротуара по нечётной стороне ул. Советской</t>
  </si>
  <si>
    <t>3.5. Осуществление регулярных перевозок автомобильным транспортом по регулируемым тарифам по муниципальным маршрутам регулярных перевозок, в том числе:</t>
  </si>
  <si>
    <t>3.5.1. Осуществление регулярных перевозок автомобильным транспортом по регулируемому тарифу по муниципальному маршруту регулярных перевозок № 3 "Город Коряжма - станция Низовка"</t>
  </si>
  <si>
    <t>3.5.2. Осуществление регулярных перевозок автомобильным транспортом по регулируемому тарифу по муниципальным маршрутам регулярных перевозок № 5,6, 1-экспресс, 2-экспресс, 3-экспресс</t>
  </si>
  <si>
    <t>3.6. Изготовление и поставка защищенной полиграфической продукции</t>
  </si>
  <si>
    <t>3.7. Экспертиза (проверка достоверности) сметной документации</t>
  </si>
  <si>
    <t xml:space="preserve">3.8. Содержание систем видеонаблюдения </t>
  </si>
  <si>
    <t>3.8.1. содержание систем</t>
  </si>
  <si>
    <t>3.8.2. передача электрической энергии для обеспечения функционирования системы видеонаблюдения</t>
  </si>
  <si>
    <t xml:space="preserve">3.8.3. покупка электрической энергии для обеспечения функционирования системы видеонаблюдения </t>
  </si>
  <si>
    <t>3.10. Содержание обелиска Славы по ул. Набережная им. Н. Островского</t>
  </si>
  <si>
    <r>
      <t>3.11.</t>
    </r>
    <r>
      <rPr>
        <i/>
        <sz val="8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Програмное обеспечение для подготовки документов для получения разрешений на движение по автомобильным дорогам транспортного средства, осуществляющего перевозки тяжеловесных и (или) крупногабаритных грузов</t>
    </r>
  </si>
  <si>
    <t>3.12. Обследование кирпичной кладки и кровли здания бани, расположенной по адресу: Архангельская обл., г. Коряжма, ул. имени Дыбцына, д. 3А, с целью установления технического состояния необходимости ремонтных работ и их перечня</t>
  </si>
  <si>
    <t>3.13. Корректировка технических заключений по домам, признанных аварийными</t>
  </si>
  <si>
    <t>2.20. Обустройство освещения проезжей части дороги по пр. Ленина, ведущей от перекрестка с ул. Глейха к границе с Котласским районом</t>
  </si>
  <si>
    <t>2.21. Замена поврежденной опоры наружного освещения по улице Глейха</t>
  </si>
  <si>
    <t>2.17.7. между домами №10А и 12 по пр. имени М.В. Ломоносова, №11 по ул. Архангельской (5 контейнеров)</t>
  </si>
  <si>
    <t xml:space="preserve">Приложение </t>
  </si>
  <si>
    <t>В целях подготовки заявки на участие в конкурсе на предоставление субсидии на мероприятия по созданию мест (площадок) накопления (в том числе раздельного накопления) ТКО</t>
  </si>
  <si>
    <t>2.17.8. в конце ул. Куйбышева (2 контейнера)</t>
  </si>
  <si>
    <t>2.17.6. демонтаж существующей контейнерной площадки между МОУ "СОШ № 6" и МДОУ "Детский сад № 18 "Сказка"</t>
  </si>
  <si>
    <t xml:space="preserve">2.18. Устройство наружного освещения от дома №78 до дома № 78Б по ул. Набережной им. Н. Островского </t>
  </si>
  <si>
    <t>от 22.12.2023 №2029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</si>
</sst>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Arial Cyr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1" fillId="0" borderId="0" xfId="1"/>
    <xf numFmtId="0" fontId="7" fillId="0" borderId="0" xfId="1" applyFont="1" applyFill="1"/>
    <xf numFmtId="164" fontId="6" fillId="0" borderId="1" xfId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164" fontId="1" fillId="0" borderId="0" xfId="1" applyNumberFormat="1" applyFont="1" applyFill="1"/>
    <xf numFmtId="164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" fontId="6" fillId="2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 wrapText="1"/>
    </xf>
    <xf numFmtId="4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4" fontId="0" fillId="0" borderId="0" xfId="0" applyNumberFormat="1"/>
    <xf numFmtId="4" fontId="6" fillId="0" borderId="1" xfId="1" applyNumberFormat="1" applyFont="1" applyFill="1" applyBorder="1" applyAlignment="1">
      <alignment horizontal="center" vertical="center"/>
    </xf>
    <xf numFmtId="4" fontId="6" fillId="3" borderId="0" xfId="1" applyNumberFormat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left" vertical="center" wrapText="1"/>
    </xf>
    <xf numFmtId="4" fontId="6" fillId="3" borderId="0" xfId="1" applyNumberFormat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/>
    </xf>
    <xf numFmtId="165" fontId="6" fillId="3" borderId="1" xfId="1" applyNumberFormat="1" applyFont="1" applyFill="1" applyBorder="1" applyAlignment="1">
      <alignment horizontal="center" vertical="center"/>
    </xf>
    <xf numFmtId="0" fontId="8" fillId="3" borderId="0" xfId="1" applyFont="1" applyFill="1" applyAlignment="1"/>
    <xf numFmtId="0" fontId="1" fillId="3" borderId="0" xfId="1" applyFill="1"/>
    <xf numFmtId="0" fontId="0" fillId="3" borderId="0" xfId="0" applyFill="1"/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2" fontId="5" fillId="3" borderId="1" xfId="1" applyNumberFormat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right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" fontId="2" fillId="3" borderId="0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right"/>
    </xf>
    <xf numFmtId="0" fontId="8" fillId="3" borderId="0" xfId="1" applyFont="1" applyFill="1" applyAlignment="1">
      <alignment horizontal="right" vertical="center"/>
    </xf>
    <xf numFmtId="0" fontId="4" fillId="3" borderId="0" xfId="1" applyFont="1" applyFill="1" applyAlignment="1">
      <alignment horizontal="right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6" fillId="3" borderId="4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right" vertical="center" wrapText="1"/>
    </xf>
    <xf numFmtId="0" fontId="6" fillId="0" borderId="7" xfId="1" applyFont="1" applyFill="1" applyBorder="1" applyAlignment="1">
      <alignment horizontal="right" vertical="center" wrapText="1"/>
    </xf>
    <xf numFmtId="0" fontId="6" fillId="0" borderId="8" xfId="1" applyFont="1" applyFill="1" applyBorder="1" applyAlignment="1">
      <alignment horizontal="right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6" fontId="6" fillId="3" borderId="2" xfId="1" applyNumberFormat="1" applyFont="1" applyFill="1" applyBorder="1" applyAlignment="1">
      <alignment horizontal="left" vertical="center" wrapText="1"/>
    </xf>
    <xf numFmtId="16" fontId="6" fillId="3" borderId="3" xfId="1" applyNumberFormat="1" applyFont="1" applyFill="1" applyBorder="1" applyAlignment="1">
      <alignment horizontal="left" vertical="center" wrapText="1"/>
    </xf>
    <xf numFmtId="16" fontId="6" fillId="3" borderId="4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 shrinkToFit="1" readingOrder="1"/>
    </xf>
    <xf numFmtId="0" fontId="11" fillId="0" borderId="3" xfId="1" applyFont="1" applyFill="1" applyBorder="1" applyAlignment="1">
      <alignment horizontal="left" vertical="center" wrapText="1" shrinkToFit="1" readingOrder="1"/>
    </xf>
    <xf numFmtId="0" fontId="11" fillId="0" borderId="4" xfId="1" applyFont="1" applyFill="1" applyBorder="1" applyAlignment="1">
      <alignment horizontal="left" vertical="center" wrapText="1" shrinkToFit="1" readingOrder="1"/>
    </xf>
    <xf numFmtId="0" fontId="11" fillId="0" borderId="2" xfId="1" applyFont="1" applyFill="1" applyBorder="1" applyAlignment="1">
      <alignment horizontal="left" vertical="center" wrapText="1" readingOrder="1"/>
    </xf>
    <xf numFmtId="0" fontId="11" fillId="0" borderId="3" xfId="1" applyFont="1" applyFill="1" applyBorder="1" applyAlignment="1">
      <alignment horizontal="left" vertical="center" wrapText="1" readingOrder="1"/>
    </xf>
    <xf numFmtId="0" fontId="11" fillId="0" borderId="4" xfId="1" applyFont="1" applyFill="1" applyBorder="1" applyAlignment="1">
      <alignment horizontal="left" vertical="center" wrapText="1" readingOrder="1"/>
    </xf>
    <xf numFmtId="0" fontId="1" fillId="3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 shrinkToFit="1"/>
    </xf>
    <xf numFmtId="0" fontId="3" fillId="3" borderId="0" xfId="1" applyFont="1" applyFill="1" applyAlignment="1">
      <alignment horizontal="center"/>
    </xf>
    <xf numFmtId="0" fontId="9" fillId="3" borderId="5" xfId="1" applyFont="1" applyFill="1" applyBorder="1" applyAlignment="1">
      <alignment horizontal="center"/>
    </xf>
    <xf numFmtId="0" fontId="1" fillId="3" borderId="1" xfId="1" applyFont="1" applyFill="1" applyBorder="1" applyAlignment="1">
      <alignment horizontal="center" vertical="center" wrapText="1"/>
    </xf>
    <xf numFmtId="14" fontId="5" fillId="3" borderId="2" xfId="1" applyNumberFormat="1" applyFont="1" applyFill="1" applyBorder="1" applyAlignment="1">
      <alignment horizontal="left" vertical="center" wrapText="1"/>
    </xf>
    <xf numFmtId="14" fontId="5" fillId="3" borderId="3" xfId="1" applyNumberFormat="1" applyFont="1" applyFill="1" applyBorder="1" applyAlignment="1">
      <alignment horizontal="left" vertical="center" wrapText="1"/>
    </xf>
    <xf numFmtId="14" fontId="5" fillId="3" borderId="4" xfId="1" applyNumberFormat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left" vertical="center" wrapText="1"/>
    </xf>
    <xf numFmtId="0" fontId="5" fillId="5" borderId="4" xfId="1" applyFont="1" applyFill="1" applyBorder="1" applyAlignment="1">
      <alignment horizontal="left" vertical="center" wrapText="1"/>
    </xf>
    <xf numFmtId="16" fontId="6" fillId="5" borderId="2" xfId="1" applyNumberFormat="1" applyFont="1" applyFill="1" applyBorder="1" applyAlignment="1">
      <alignment horizontal="left" vertical="center" wrapText="1"/>
    </xf>
    <xf numFmtId="16" fontId="6" fillId="5" borderId="3" xfId="1" applyNumberFormat="1" applyFont="1" applyFill="1" applyBorder="1" applyAlignment="1">
      <alignment horizontal="left" vertical="center" wrapText="1"/>
    </xf>
    <xf numFmtId="16" fontId="6" fillId="5" borderId="4" xfId="1" applyNumberFormat="1" applyFont="1" applyFill="1" applyBorder="1" applyAlignment="1">
      <alignment horizontal="left" vertical="center" wrapText="1"/>
    </xf>
    <xf numFmtId="16" fontId="5" fillId="5" borderId="2" xfId="1" applyNumberFormat="1" applyFont="1" applyFill="1" applyBorder="1" applyAlignment="1">
      <alignment horizontal="left" vertical="center" wrapText="1"/>
    </xf>
    <xf numFmtId="16" fontId="5" fillId="5" borderId="3" xfId="1" applyNumberFormat="1" applyFont="1" applyFill="1" applyBorder="1" applyAlignment="1">
      <alignment horizontal="left" vertical="center" wrapText="1"/>
    </xf>
    <xf numFmtId="16" fontId="5" fillId="5" borderId="4" xfId="1" applyNumberFormat="1" applyFont="1" applyFill="1" applyBorder="1" applyAlignment="1">
      <alignment horizontal="left" vertical="center" wrapText="1"/>
    </xf>
    <xf numFmtId="16" fontId="5" fillId="3" borderId="2" xfId="1" applyNumberFormat="1" applyFont="1" applyFill="1" applyBorder="1" applyAlignment="1">
      <alignment horizontal="left" vertical="center" wrapText="1"/>
    </xf>
    <xf numFmtId="16" fontId="5" fillId="3" borderId="3" xfId="1" applyNumberFormat="1" applyFont="1" applyFill="1" applyBorder="1" applyAlignment="1">
      <alignment horizontal="left" vertical="center" wrapText="1"/>
    </xf>
    <xf numFmtId="16" fontId="5" fillId="3" borderId="4" xfId="1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C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0"/>
  <sheetViews>
    <sheetView tabSelected="1" view="pageBreakPreview" zoomScaleNormal="80" zoomScaleSheetLayoutView="100" workbookViewId="0">
      <selection activeCell="D3" sqref="D3"/>
    </sheetView>
  </sheetViews>
  <sheetFormatPr defaultRowHeight="15" x14ac:dyDescent="0.25"/>
  <cols>
    <col min="1" max="1" width="36.140625" customWidth="1"/>
    <col min="2" max="2" width="15.5703125" customWidth="1"/>
    <col min="3" max="3" width="14" customWidth="1"/>
    <col min="4" max="4" width="16" customWidth="1"/>
    <col min="5" max="5" width="13.7109375" style="31" customWidth="1"/>
    <col min="6" max="6" width="14.28515625" style="31" customWidth="1"/>
    <col min="7" max="9" width="14.7109375" style="31" customWidth="1"/>
    <col min="10" max="10" width="42.42578125" customWidth="1"/>
    <col min="12" max="12" width="17" customWidth="1"/>
    <col min="13" max="13" width="11.85546875" bestFit="1" customWidth="1"/>
  </cols>
  <sheetData>
    <row r="1" spans="1:12" ht="18.75" x14ac:dyDescent="0.3">
      <c r="A1" s="30"/>
      <c r="B1" s="30"/>
      <c r="C1" s="30"/>
      <c r="D1" s="30"/>
      <c r="E1" s="29"/>
      <c r="F1" s="29"/>
      <c r="G1" s="29"/>
      <c r="H1" s="29"/>
      <c r="I1" s="29"/>
      <c r="J1" s="54" t="s">
        <v>263</v>
      </c>
    </row>
    <row r="2" spans="1:12" ht="18.75" x14ac:dyDescent="0.3">
      <c r="A2" s="30"/>
      <c r="B2" s="30"/>
      <c r="C2" s="30"/>
      <c r="D2" s="30"/>
      <c r="E2" s="30"/>
      <c r="F2" s="30"/>
      <c r="G2" s="30"/>
      <c r="H2" s="30"/>
      <c r="I2" s="30"/>
      <c r="J2" s="54" t="s">
        <v>0</v>
      </c>
    </row>
    <row r="3" spans="1:12" ht="18.75" x14ac:dyDescent="0.25">
      <c r="A3" s="30"/>
      <c r="B3" s="30"/>
      <c r="C3" s="30"/>
      <c r="D3" s="30"/>
      <c r="E3" s="30"/>
      <c r="F3" s="30"/>
      <c r="G3" s="30"/>
      <c r="H3" s="30"/>
      <c r="I3" s="30"/>
      <c r="J3" s="55" t="s">
        <v>268</v>
      </c>
    </row>
    <row r="4" spans="1:12" ht="15.75" x14ac:dyDescent="0.25">
      <c r="A4" s="56"/>
      <c r="B4" s="30"/>
      <c r="C4" s="30"/>
      <c r="D4" s="30"/>
      <c r="E4" s="30"/>
      <c r="F4" s="30"/>
      <c r="G4" s="30"/>
      <c r="H4" s="30"/>
      <c r="I4" s="30"/>
      <c r="J4" s="30"/>
    </row>
    <row r="5" spans="1:12" x14ac:dyDescent="0.25">
      <c r="A5" s="111" t="s">
        <v>136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2" x14ac:dyDescent="0.25">
      <c r="A6" s="111" t="s">
        <v>137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2" x14ac:dyDescent="0.25">
      <c r="A7" s="111" t="s">
        <v>129</v>
      </c>
      <c r="B7" s="111"/>
      <c r="C7" s="111"/>
      <c r="D7" s="111"/>
      <c r="E7" s="111"/>
      <c r="F7" s="111"/>
      <c r="G7" s="111"/>
      <c r="H7" s="111"/>
      <c r="I7" s="111"/>
      <c r="J7" s="111"/>
    </row>
    <row r="8" spans="1:12" x14ac:dyDescent="0.25">
      <c r="A8" s="111" t="s">
        <v>130</v>
      </c>
      <c r="B8" s="111"/>
      <c r="C8" s="111"/>
      <c r="D8" s="111"/>
      <c r="E8" s="111"/>
      <c r="F8" s="111"/>
      <c r="G8" s="111"/>
      <c r="H8" s="111"/>
      <c r="I8" s="111"/>
      <c r="J8" s="111"/>
    </row>
    <row r="9" spans="1:12" x14ac:dyDescent="0.25">
      <c r="A9" s="112"/>
      <c r="B9" s="112"/>
      <c r="C9" s="112"/>
      <c r="D9" s="112"/>
      <c r="E9" s="112"/>
      <c r="F9" s="112"/>
      <c r="G9" s="112"/>
      <c r="H9" s="112"/>
      <c r="I9" s="112"/>
      <c r="J9" s="112"/>
    </row>
    <row r="10" spans="1:12" x14ac:dyDescent="0.25">
      <c r="A10" s="87" t="s">
        <v>1</v>
      </c>
      <c r="B10" s="87" t="s">
        <v>135</v>
      </c>
      <c r="C10" s="87" t="s">
        <v>2</v>
      </c>
      <c r="D10" s="87" t="s">
        <v>131</v>
      </c>
      <c r="E10" s="87"/>
      <c r="F10" s="87"/>
      <c r="G10" s="87"/>
      <c r="H10" s="87"/>
      <c r="I10" s="87"/>
      <c r="J10" s="87" t="s">
        <v>3</v>
      </c>
      <c r="K10" s="1"/>
      <c r="L10" s="1"/>
    </row>
    <row r="11" spans="1:12" x14ac:dyDescent="0.25">
      <c r="A11" s="87"/>
      <c r="B11" s="87"/>
      <c r="C11" s="87"/>
      <c r="D11" s="87" t="s">
        <v>4</v>
      </c>
      <c r="E11" s="87"/>
      <c r="F11" s="87"/>
      <c r="G11" s="87"/>
      <c r="H11" s="87"/>
      <c r="I11" s="87"/>
      <c r="J11" s="87"/>
      <c r="K11" s="1"/>
      <c r="L11" s="1"/>
    </row>
    <row r="12" spans="1:12" x14ac:dyDescent="0.25">
      <c r="A12" s="87"/>
      <c r="B12" s="87"/>
      <c r="C12" s="87"/>
      <c r="D12" s="87"/>
      <c r="E12" s="53">
        <v>2022</v>
      </c>
      <c r="F12" s="64">
        <v>2023</v>
      </c>
      <c r="G12" s="58">
        <v>2024</v>
      </c>
      <c r="H12" s="57">
        <v>2025</v>
      </c>
      <c r="I12" s="58">
        <v>2026</v>
      </c>
      <c r="J12" s="87"/>
      <c r="K12" s="1"/>
      <c r="L12" s="1"/>
    </row>
    <row r="13" spans="1:12" x14ac:dyDescent="0.25">
      <c r="A13" s="53">
        <v>1</v>
      </c>
      <c r="B13" s="53">
        <v>2</v>
      </c>
      <c r="C13" s="53">
        <v>3</v>
      </c>
      <c r="D13" s="53">
        <v>4</v>
      </c>
      <c r="E13" s="53">
        <v>5</v>
      </c>
      <c r="F13" s="64">
        <v>6</v>
      </c>
      <c r="G13" s="58">
        <v>7</v>
      </c>
      <c r="H13" s="57">
        <v>8</v>
      </c>
      <c r="I13" s="58">
        <v>9</v>
      </c>
      <c r="J13" s="53">
        <v>10</v>
      </c>
      <c r="K13" s="2"/>
      <c r="L13" s="2"/>
    </row>
    <row r="14" spans="1:12" x14ac:dyDescent="0.25">
      <c r="A14" s="83" t="s">
        <v>133</v>
      </c>
      <c r="B14" s="83"/>
      <c r="C14" s="83"/>
      <c r="D14" s="83"/>
      <c r="E14" s="83"/>
      <c r="F14" s="83"/>
      <c r="G14" s="83"/>
      <c r="H14" s="83"/>
      <c r="I14" s="83"/>
      <c r="J14" s="83"/>
      <c r="K14" s="1"/>
      <c r="L14" s="1"/>
    </row>
    <row r="15" spans="1:12" ht="15" customHeight="1" x14ac:dyDescent="0.25">
      <c r="A15" s="66" t="s">
        <v>5</v>
      </c>
      <c r="B15" s="73" t="s">
        <v>6</v>
      </c>
      <c r="C15" s="24" t="s">
        <v>11</v>
      </c>
      <c r="D15" s="22">
        <f t="shared" ref="D15:D22" si="0">SUM(E15:I15)</f>
        <v>197506973.24000001</v>
      </c>
      <c r="E15" s="25">
        <f>SUM(E16:E18)</f>
        <v>33599825.810000002</v>
      </c>
      <c r="F15" s="25">
        <f>SUM(F16:F18)</f>
        <v>38213802.519999996</v>
      </c>
      <c r="G15" s="25">
        <f>SUM(G16:G18)</f>
        <v>40189000</v>
      </c>
      <c r="H15" s="25">
        <f>SUM(H16:H18)</f>
        <v>40440728.240000002</v>
      </c>
      <c r="I15" s="25">
        <f>SUM(I16:I18)</f>
        <v>45063616.670000002</v>
      </c>
      <c r="J15" s="84" t="s">
        <v>8</v>
      </c>
      <c r="K15" s="1"/>
      <c r="L15" s="1"/>
    </row>
    <row r="16" spans="1:12" ht="13.9" customHeight="1" x14ac:dyDescent="0.25">
      <c r="A16" s="67"/>
      <c r="B16" s="74"/>
      <c r="C16" s="24" t="s">
        <v>13</v>
      </c>
      <c r="D16" s="22">
        <f t="shared" si="0"/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85"/>
      <c r="K16" s="1"/>
      <c r="L16" s="1"/>
    </row>
    <row r="17" spans="1:12" ht="14.45" customHeight="1" x14ac:dyDescent="0.25">
      <c r="A17" s="67"/>
      <c r="B17" s="74"/>
      <c r="C17" s="24" t="s">
        <v>14</v>
      </c>
      <c r="D17" s="22">
        <f t="shared" si="0"/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85"/>
      <c r="K17" s="1"/>
      <c r="L17" s="1"/>
    </row>
    <row r="18" spans="1:12" ht="14.45" customHeight="1" x14ac:dyDescent="0.25">
      <c r="A18" s="68"/>
      <c r="B18" s="75"/>
      <c r="C18" s="24" t="s">
        <v>15</v>
      </c>
      <c r="D18" s="22">
        <f t="shared" si="0"/>
        <v>197506973.24000001</v>
      </c>
      <c r="E18" s="25">
        <f>30842482.76+2594511.86+162831.19</f>
        <v>33599825.810000002</v>
      </c>
      <c r="F18" s="25">
        <f>33870496.72+2679193.44+35971.35+229717.92+592093.01+806330.08</f>
        <v>38213802.519999996</v>
      </c>
      <c r="G18" s="25">
        <f>29229856.36+10959143.64</f>
        <v>40189000</v>
      </c>
      <c r="H18" s="25">
        <f>33001944.3+7438783.94</f>
        <v>40440728.240000002</v>
      </c>
      <c r="I18" s="25">
        <f>33188394.6+11875222.07</f>
        <v>45063616.670000002</v>
      </c>
      <c r="J18" s="86"/>
      <c r="K18" s="1"/>
      <c r="L18" s="1"/>
    </row>
    <row r="19" spans="1:12" ht="13.9" customHeight="1" x14ac:dyDescent="0.25">
      <c r="A19" s="102" t="s">
        <v>9</v>
      </c>
      <c r="B19" s="87" t="s">
        <v>10</v>
      </c>
      <c r="C19" s="24" t="s">
        <v>11</v>
      </c>
      <c r="D19" s="22">
        <f t="shared" si="0"/>
        <v>123917406.56000002</v>
      </c>
      <c r="E19" s="25">
        <f>SUM(E20:E22)</f>
        <v>82719848.870000005</v>
      </c>
      <c r="F19" s="25">
        <f>SUM(F20:F22)</f>
        <v>19219328.18</v>
      </c>
      <c r="G19" s="25">
        <f>SUM(G20:G22)</f>
        <v>21978229.510000002</v>
      </c>
      <c r="H19" s="25"/>
      <c r="I19" s="25"/>
      <c r="J19" s="84" t="s">
        <v>12</v>
      </c>
      <c r="K19" s="1"/>
      <c r="L19" s="1"/>
    </row>
    <row r="20" spans="1:12" ht="15.6" customHeight="1" x14ac:dyDescent="0.25">
      <c r="A20" s="102"/>
      <c r="B20" s="87"/>
      <c r="C20" s="24" t="s">
        <v>13</v>
      </c>
      <c r="D20" s="22">
        <f t="shared" si="0"/>
        <v>0</v>
      </c>
      <c r="E20" s="25">
        <f t="shared" ref="E20:E22" si="1">E25+E29+E33+E37+E41</f>
        <v>0</v>
      </c>
      <c r="F20" s="25">
        <f>F25+F29+F49+F53+F33+F37+F41+F45</f>
        <v>0</v>
      </c>
      <c r="G20" s="25">
        <f>G25+G29+G33+G37+G41</f>
        <v>0</v>
      </c>
      <c r="H20" s="25"/>
      <c r="I20" s="25"/>
      <c r="J20" s="85"/>
      <c r="K20" s="1"/>
      <c r="L20" s="1"/>
    </row>
    <row r="21" spans="1:12" ht="15.6" customHeight="1" x14ac:dyDescent="0.25">
      <c r="A21" s="102"/>
      <c r="B21" s="87"/>
      <c r="C21" s="24" t="s">
        <v>14</v>
      </c>
      <c r="D21" s="22">
        <f t="shared" si="0"/>
        <v>71121278.829999998</v>
      </c>
      <c r="E21" s="22">
        <f t="shared" si="1"/>
        <v>71121278.829999998</v>
      </c>
      <c r="F21" s="22">
        <f>F26+F30+F34+F54+F50+F38+F42+F46</f>
        <v>0</v>
      </c>
      <c r="G21" s="22">
        <v>0</v>
      </c>
      <c r="H21" s="22"/>
      <c r="I21" s="22"/>
      <c r="J21" s="85"/>
      <c r="K21" s="1"/>
      <c r="L21" s="1"/>
    </row>
    <row r="22" spans="1:12" ht="15.6" customHeight="1" x14ac:dyDescent="0.25">
      <c r="A22" s="102"/>
      <c r="B22" s="87"/>
      <c r="C22" s="24" t="s">
        <v>15</v>
      </c>
      <c r="D22" s="22">
        <f t="shared" si="0"/>
        <v>52796127.730000004</v>
      </c>
      <c r="E22" s="22">
        <f t="shared" si="1"/>
        <v>11598570.039999999</v>
      </c>
      <c r="F22" s="22">
        <f>F47+F43+F39+F35+F31+F27+F51+F55</f>
        <v>19219328.18</v>
      </c>
      <c r="G22" s="22">
        <f>G31+G35</f>
        <v>21978229.510000002</v>
      </c>
      <c r="H22" s="22"/>
      <c r="I22" s="22"/>
      <c r="J22" s="85"/>
      <c r="K22" s="1"/>
      <c r="L22" s="1"/>
    </row>
    <row r="23" spans="1:12" ht="14.45" hidden="1" customHeight="1" x14ac:dyDescent="0.25">
      <c r="A23" s="102"/>
      <c r="B23" s="87"/>
      <c r="C23" s="24" t="s">
        <v>15</v>
      </c>
      <c r="D23" s="22"/>
      <c r="E23" s="22">
        <v>11598.570039999999</v>
      </c>
      <c r="F23" s="22">
        <v>764.58947000000001</v>
      </c>
      <c r="G23" s="22">
        <v>781.78947000000005</v>
      </c>
      <c r="H23" s="22"/>
      <c r="I23" s="22">
        <v>2476.8144000000002</v>
      </c>
      <c r="J23" s="85"/>
      <c r="K23" s="1"/>
      <c r="L23" s="7"/>
    </row>
    <row r="24" spans="1:12" ht="22.5" x14ac:dyDescent="0.25">
      <c r="A24" s="101" t="s">
        <v>16</v>
      </c>
      <c r="B24" s="87" t="s">
        <v>10</v>
      </c>
      <c r="C24" s="24" t="s">
        <v>11</v>
      </c>
      <c r="D24" s="23">
        <f>SUM(E24:I24)</f>
        <v>33040348.800000001</v>
      </c>
      <c r="E24" s="23">
        <f>E26+E27</f>
        <v>33040348.800000001</v>
      </c>
      <c r="F24" s="23"/>
      <c r="G24" s="23"/>
      <c r="H24" s="23"/>
      <c r="I24" s="23"/>
      <c r="J24" s="85"/>
      <c r="K24" s="1"/>
      <c r="L24" s="1"/>
    </row>
    <row r="25" spans="1:12" ht="12" customHeight="1" x14ac:dyDescent="0.25">
      <c r="A25" s="101"/>
      <c r="B25" s="87"/>
      <c r="C25" s="24" t="s">
        <v>13</v>
      </c>
      <c r="D25" s="23">
        <v>0</v>
      </c>
      <c r="E25" s="23">
        <v>0</v>
      </c>
      <c r="F25" s="23"/>
      <c r="G25" s="23"/>
      <c r="H25" s="23"/>
      <c r="I25" s="23"/>
      <c r="J25" s="85"/>
      <c r="K25" s="1"/>
      <c r="L25" s="1"/>
    </row>
    <row r="26" spans="1:12" ht="11.45" customHeight="1" x14ac:dyDescent="0.25">
      <c r="A26" s="101"/>
      <c r="B26" s="87"/>
      <c r="C26" s="24" t="s">
        <v>14</v>
      </c>
      <c r="D26" s="23">
        <f t="shared" ref="D26:D43" si="2">SUM(E26:I26)</f>
        <v>27753562.609999999</v>
      </c>
      <c r="E26" s="23">
        <v>27753562.609999999</v>
      </c>
      <c r="F26" s="23"/>
      <c r="G26" s="23"/>
      <c r="H26" s="23"/>
      <c r="I26" s="23"/>
      <c r="J26" s="85"/>
      <c r="K26" s="1"/>
      <c r="L26" s="1"/>
    </row>
    <row r="27" spans="1:12" ht="13.9" customHeight="1" x14ac:dyDescent="0.25">
      <c r="A27" s="101"/>
      <c r="B27" s="87"/>
      <c r="C27" s="24" t="s">
        <v>15</v>
      </c>
      <c r="D27" s="23">
        <f t="shared" si="2"/>
        <v>5286786.1900000004</v>
      </c>
      <c r="E27" s="23">
        <v>5286786.1900000004</v>
      </c>
      <c r="F27" s="23"/>
      <c r="G27" s="23"/>
      <c r="H27" s="23"/>
      <c r="I27" s="23"/>
      <c r="J27" s="85"/>
      <c r="K27" s="1"/>
      <c r="L27" s="1"/>
    </row>
    <row r="28" spans="1:12" ht="12.6" customHeight="1" x14ac:dyDescent="0.25">
      <c r="A28" s="101" t="s">
        <v>193</v>
      </c>
      <c r="B28" s="87" t="s">
        <v>10</v>
      </c>
      <c r="C28" s="24" t="s">
        <v>11</v>
      </c>
      <c r="D28" s="23">
        <f t="shared" si="2"/>
        <v>17570961.710000001</v>
      </c>
      <c r="E28" s="23"/>
      <c r="F28" s="23"/>
      <c r="G28" s="23">
        <f t="shared" ref="G28" si="3">SUM(G29:G31)</f>
        <v>17570961.710000001</v>
      </c>
      <c r="H28" s="23"/>
      <c r="I28" s="23"/>
      <c r="J28" s="85"/>
      <c r="K28" s="1"/>
      <c r="L28" s="1"/>
    </row>
    <row r="29" spans="1:12" ht="12.6" customHeight="1" x14ac:dyDescent="0.25">
      <c r="A29" s="101"/>
      <c r="B29" s="87"/>
      <c r="C29" s="24" t="s">
        <v>13</v>
      </c>
      <c r="D29" s="23">
        <f t="shared" si="2"/>
        <v>0</v>
      </c>
      <c r="E29" s="23"/>
      <c r="F29" s="23"/>
      <c r="G29" s="23">
        <v>0</v>
      </c>
      <c r="H29" s="23"/>
      <c r="I29" s="23"/>
      <c r="J29" s="85"/>
      <c r="K29" s="1"/>
      <c r="L29" s="1"/>
    </row>
    <row r="30" spans="1:12" ht="13.9" customHeight="1" x14ac:dyDescent="0.25">
      <c r="A30" s="101"/>
      <c r="B30" s="87"/>
      <c r="C30" s="24" t="s">
        <v>14</v>
      </c>
      <c r="D30" s="23">
        <f t="shared" si="2"/>
        <v>0</v>
      </c>
      <c r="E30" s="23"/>
      <c r="F30" s="23"/>
      <c r="G30" s="23">
        <v>0</v>
      </c>
      <c r="H30" s="23"/>
      <c r="I30" s="23"/>
      <c r="J30" s="85"/>
      <c r="K30" s="1"/>
      <c r="L30" s="1"/>
    </row>
    <row r="31" spans="1:12" ht="13.15" customHeight="1" x14ac:dyDescent="0.25">
      <c r="A31" s="101"/>
      <c r="B31" s="87"/>
      <c r="C31" s="24" t="s">
        <v>15</v>
      </c>
      <c r="D31" s="23">
        <f t="shared" si="2"/>
        <v>17570961.710000001</v>
      </c>
      <c r="E31" s="23"/>
      <c r="F31" s="23"/>
      <c r="G31" s="23">
        <v>17570961.710000001</v>
      </c>
      <c r="H31" s="23"/>
      <c r="I31" s="23"/>
      <c r="J31" s="85"/>
      <c r="K31" s="1"/>
      <c r="L31" s="1"/>
    </row>
    <row r="32" spans="1:12" ht="15" customHeight="1" x14ac:dyDescent="0.25">
      <c r="A32" s="101" t="s">
        <v>194</v>
      </c>
      <c r="B32" s="87" t="s">
        <v>10</v>
      </c>
      <c r="C32" s="24" t="s">
        <v>11</v>
      </c>
      <c r="D32" s="23">
        <f t="shared" si="2"/>
        <v>4407267.8</v>
      </c>
      <c r="E32" s="23"/>
      <c r="F32" s="23"/>
      <c r="G32" s="23">
        <f>SUM(G33:G35)</f>
        <v>4407267.8</v>
      </c>
      <c r="H32" s="23"/>
      <c r="I32" s="23"/>
      <c r="J32" s="85"/>
    </row>
    <row r="33" spans="1:10" ht="15" customHeight="1" x14ac:dyDescent="0.25">
      <c r="A33" s="101"/>
      <c r="B33" s="87"/>
      <c r="C33" s="24" t="s">
        <v>13</v>
      </c>
      <c r="D33" s="23">
        <f t="shared" si="2"/>
        <v>0</v>
      </c>
      <c r="E33" s="23"/>
      <c r="F33" s="23"/>
      <c r="G33" s="23">
        <v>0</v>
      </c>
      <c r="H33" s="23"/>
      <c r="I33" s="23"/>
      <c r="J33" s="85"/>
    </row>
    <row r="34" spans="1:10" ht="15" customHeight="1" x14ac:dyDescent="0.25">
      <c r="A34" s="109"/>
      <c r="B34" s="87"/>
      <c r="C34" s="24" t="s">
        <v>14</v>
      </c>
      <c r="D34" s="23">
        <f t="shared" si="2"/>
        <v>0</v>
      </c>
      <c r="E34" s="23"/>
      <c r="F34" s="23"/>
      <c r="G34" s="23">
        <v>0</v>
      </c>
      <c r="H34" s="23"/>
      <c r="I34" s="23"/>
      <c r="J34" s="85"/>
    </row>
    <row r="35" spans="1:10" ht="13.9" customHeight="1" x14ac:dyDescent="0.25">
      <c r="A35" s="109"/>
      <c r="B35" s="87"/>
      <c r="C35" s="24" t="s">
        <v>15</v>
      </c>
      <c r="D35" s="23">
        <f t="shared" si="2"/>
        <v>4407267.8</v>
      </c>
      <c r="E35" s="23"/>
      <c r="F35" s="23"/>
      <c r="G35" s="23">
        <v>4407267.8</v>
      </c>
      <c r="H35" s="23"/>
      <c r="I35" s="23"/>
      <c r="J35" s="85"/>
    </row>
    <row r="36" spans="1:10" ht="22.5" x14ac:dyDescent="0.25">
      <c r="A36" s="101" t="s">
        <v>90</v>
      </c>
      <c r="B36" s="87" t="s">
        <v>10</v>
      </c>
      <c r="C36" s="24" t="s">
        <v>11</v>
      </c>
      <c r="D36" s="23">
        <f t="shared" si="2"/>
        <v>34795099.200000003</v>
      </c>
      <c r="E36" s="23">
        <f>E38+E39</f>
        <v>34795099.200000003</v>
      </c>
      <c r="F36" s="23"/>
      <c r="G36" s="23"/>
      <c r="H36" s="23"/>
      <c r="I36" s="23"/>
      <c r="J36" s="85"/>
    </row>
    <row r="37" spans="1:10" ht="13.9" customHeight="1" x14ac:dyDescent="0.25">
      <c r="A37" s="101"/>
      <c r="B37" s="87"/>
      <c r="C37" s="24" t="s">
        <v>13</v>
      </c>
      <c r="D37" s="23">
        <f t="shared" si="2"/>
        <v>0</v>
      </c>
      <c r="E37" s="23">
        <v>0</v>
      </c>
      <c r="F37" s="23"/>
      <c r="G37" s="23"/>
      <c r="H37" s="23"/>
      <c r="I37" s="23"/>
      <c r="J37" s="85"/>
    </row>
    <row r="38" spans="1:10" ht="15" customHeight="1" x14ac:dyDescent="0.25">
      <c r="A38" s="109"/>
      <c r="B38" s="87"/>
      <c r="C38" s="24" t="s">
        <v>14</v>
      </c>
      <c r="D38" s="23">
        <f t="shared" si="2"/>
        <v>29227535.390000001</v>
      </c>
      <c r="E38" s="23">
        <v>29227535.390000001</v>
      </c>
      <c r="F38" s="23"/>
      <c r="G38" s="23"/>
      <c r="H38" s="23"/>
      <c r="I38" s="23"/>
      <c r="J38" s="85"/>
    </row>
    <row r="39" spans="1:10" ht="13.9" customHeight="1" x14ac:dyDescent="0.25">
      <c r="A39" s="109"/>
      <c r="B39" s="87"/>
      <c r="C39" s="24" t="s">
        <v>15</v>
      </c>
      <c r="D39" s="23">
        <f t="shared" si="2"/>
        <v>5567563.8099999996</v>
      </c>
      <c r="E39" s="23">
        <v>5567563.8099999996</v>
      </c>
      <c r="F39" s="23"/>
      <c r="G39" s="23"/>
      <c r="H39" s="23"/>
      <c r="I39" s="23"/>
      <c r="J39" s="85"/>
    </row>
    <row r="40" spans="1:10" ht="22.5" x14ac:dyDescent="0.25">
      <c r="A40" s="101" t="s">
        <v>91</v>
      </c>
      <c r="B40" s="87" t="s">
        <v>10</v>
      </c>
      <c r="C40" s="24" t="s">
        <v>11</v>
      </c>
      <c r="D40" s="23">
        <f t="shared" si="2"/>
        <v>14884400.870000001</v>
      </c>
      <c r="E40" s="23">
        <f>E42+E43</f>
        <v>14884400.870000001</v>
      </c>
      <c r="F40" s="23"/>
      <c r="G40" s="23"/>
      <c r="H40" s="23"/>
      <c r="I40" s="23"/>
      <c r="J40" s="85"/>
    </row>
    <row r="41" spans="1:10" ht="14.45" customHeight="1" x14ac:dyDescent="0.25">
      <c r="A41" s="101"/>
      <c r="B41" s="87"/>
      <c r="C41" s="24" t="s">
        <v>13</v>
      </c>
      <c r="D41" s="23">
        <f t="shared" si="2"/>
        <v>0</v>
      </c>
      <c r="E41" s="23">
        <v>0</v>
      </c>
      <c r="F41" s="23"/>
      <c r="G41" s="23"/>
      <c r="H41" s="23"/>
      <c r="I41" s="23"/>
      <c r="J41" s="85"/>
    </row>
    <row r="42" spans="1:10" ht="13.9" customHeight="1" x14ac:dyDescent="0.25">
      <c r="A42" s="109"/>
      <c r="B42" s="87"/>
      <c r="C42" s="24" t="s">
        <v>14</v>
      </c>
      <c r="D42" s="23">
        <f t="shared" si="2"/>
        <v>14140180.83</v>
      </c>
      <c r="E42" s="23">
        <v>14140180.83</v>
      </c>
      <c r="F42" s="23"/>
      <c r="G42" s="23"/>
      <c r="H42" s="23"/>
      <c r="I42" s="23"/>
      <c r="J42" s="85"/>
    </row>
    <row r="43" spans="1:10" ht="13.9" customHeight="1" x14ac:dyDescent="0.25">
      <c r="A43" s="109"/>
      <c r="B43" s="87"/>
      <c r="C43" s="24" t="s">
        <v>15</v>
      </c>
      <c r="D43" s="23">
        <f t="shared" si="2"/>
        <v>744220.04</v>
      </c>
      <c r="E43" s="23">
        <v>744220.04</v>
      </c>
      <c r="F43" s="23"/>
      <c r="G43" s="23"/>
      <c r="H43" s="23"/>
      <c r="I43" s="23"/>
      <c r="J43" s="85"/>
    </row>
    <row r="44" spans="1:10" ht="13.9" customHeight="1" x14ac:dyDescent="0.25">
      <c r="A44" s="101" t="s">
        <v>175</v>
      </c>
      <c r="B44" s="87" t="s">
        <v>10</v>
      </c>
      <c r="C44" s="32" t="s">
        <v>11</v>
      </c>
      <c r="D44" s="23"/>
      <c r="E44" s="23"/>
      <c r="F44" s="23">
        <f>SUM(F45:F47)</f>
        <v>13529408.360000001</v>
      </c>
      <c r="G44" s="23"/>
      <c r="H44" s="23"/>
      <c r="I44" s="23"/>
      <c r="J44" s="85"/>
    </row>
    <row r="45" spans="1:10" ht="13.9" customHeight="1" x14ac:dyDescent="0.25">
      <c r="A45" s="101"/>
      <c r="B45" s="87"/>
      <c r="C45" s="32" t="s">
        <v>13</v>
      </c>
      <c r="D45" s="23"/>
      <c r="E45" s="23"/>
      <c r="F45" s="23">
        <f>0</f>
        <v>0</v>
      </c>
      <c r="G45" s="23"/>
      <c r="H45" s="23"/>
      <c r="I45" s="23"/>
      <c r="J45" s="85"/>
    </row>
    <row r="46" spans="1:10" ht="13.9" customHeight="1" x14ac:dyDescent="0.25">
      <c r="A46" s="109"/>
      <c r="B46" s="87"/>
      <c r="C46" s="32" t="s">
        <v>14</v>
      </c>
      <c r="D46" s="23"/>
      <c r="E46" s="23"/>
      <c r="F46" s="23">
        <f>0</f>
        <v>0</v>
      </c>
      <c r="G46" s="23"/>
      <c r="H46" s="23"/>
      <c r="I46" s="23"/>
      <c r="J46" s="85"/>
    </row>
    <row r="47" spans="1:10" ht="13.9" customHeight="1" x14ac:dyDescent="0.25">
      <c r="A47" s="109"/>
      <c r="B47" s="87"/>
      <c r="C47" s="32" t="s">
        <v>15</v>
      </c>
      <c r="D47" s="23"/>
      <c r="E47" s="23"/>
      <c r="F47" s="23">
        <f>16742392.72-2633931.16-579053.2</f>
        <v>13529408.360000001</v>
      </c>
      <c r="G47" s="23"/>
      <c r="H47" s="23"/>
      <c r="I47" s="23"/>
      <c r="J47" s="85"/>
    </row>
    <row r="48" spans="1:10" ht="13.9" customHeight="1" x14ac:dyDescent="0.25">
      <c r="A48" s="101" t="s">
        <v>180</v>
      </c>
      <c r="B48" s="87" t="s">
        <v>10</v>
      </c>
      <c r="C48" s="41" t="s">
        <v>11</v>
      </c>
      <c r="D48" s="23"/>
      <c r="E48" s="23"/>
      <c r="F48" s="23">
        <f>SUM(F49:F51)</f>
        <v>3036640.1</v>
      </c>
      <c r="G48" s="23"/>
      <c r="H48" s="23"/>
      <c r="I48" s="23"/>
      <c r="J48" s="85"/>
    </row>
    <row r="49" spans="1:10" ht="13.9" customHeight="1" x14ac:dyDescent="0.25">
      <c r="A49" s="101"/>
      <c r="B49" s="87"/>
      <c r="C49" s="41" t="s">
        <v>13</v>
      </c>
      <c r="D49" s="23"/>
      <c r="E49" s="23"/>
      <c r="F49" s="23">
        <f>0</f>
        <v>0</v>
      </c>
      <c r="G49" s="23"/>
      <c r="H49" s="23"/>
      <c r="I49" s="23"/>
      <c r="J49" s="85"/>
    </row>
    <row r="50" spans="1:10" ht="18" customHeight="1" x14ac:dyDescent="0.25">
      <c r="A50" s="109"/>
      <c r="B50" s="87"/>
      <c r="C50" s="41" t="s">
        <v>14</v>
      </c>
      <c r="D50" s="23"/>
      <c r="E50" s="23"/>
      <c r="F50" s="23">
        <f>0</f>
        <v>0</v>
      </c>
      <c r="G50" s="23"/>
      <c r="H50" s="23"/>
      <c r="I50" s="23"/>
      <c r="J50" s="85"/>
    </row>
    <row r="51" spans="1:10" ht="19.5" customHeight="1" x14ac:dyDescent="0.25">
      <c r="A51" s="109"/>
      <c r="B51" s="87"/>
      <c r="C51" s="41" t="s">
        <v>15</v>
      </c>
      <c r="D51" s="23"/>
      <c r="E51" s="23"/>
      <c r="F51" s="23">
        <f>3055988.66-19348.56</f>
        <v>3036640.1</v>
      </c>
      <c r="G51" s="23"/>
      <c r="H51" s="23"/>
      <c r="I51" s="23"/>
      <c r="J51" s="85"/>
    </row>
    <row r="52" spans="1:10" ht="19.5" customHeight="1" x14ac:dyDescent="0.25">
      <c r="A52" s="76" t="s">
        <v>181</v>
      </c>
      <c r="B52" s="87" t="s">
        <v>10</v>
      </c>
      <c r="C52" s="48" t="s">
        <v>11</v>
      </c>
      <c r="D52" s="23"/>
      <c r="E52" s="23"/>
      <c r="F52" s="23">
        <f>SUM(F53:F55)</f>
        <v>2653279.7200000002</v>
      </c>
      <c r="G52" s="23"/>
      <c r="H52" s="23"/>
      <c r="I52" s="23"/>
      <c r="J52" s="85"/>
    </row>
    <row r="53" spans="1:10" ht="19.5" customHeight="1" x14ac:dyDescent="0.25">
      <c r="A53" s="77"/>
      <c r="B53" s="87"/>
      <c r="C53" s="48" t="s">
        <v>13</v>
      </c>
      <c r="D53" s="23"/>
      <c r="E53" s="23"/>
      <c r="F53" s="23">
        <f>0</f>
        <v>0</v>
      </c>
      <c r="G53" s="23"/>
      <c r="H53" s="23"/>
      <c r="I53" s="23"/>
      <c r="J53" s="85"/>
    </row>
    <row r="54" spans="1:10" ht="19.5" customHeight="1" x14ac:dyDescent="0.25">
      <c r="A54" s="77"/>
      <c r="B54" s="87"/>
      <c r="C54" s="48" t="s">
        <v>14</v>
      </c>
      <c r="D54" s="23"/>
      <c r="E54" s="23"/>
      <c r="F54" s="23">
        <f>0</f>
        <v>0</v>
      </c>
      <c r="G54" s="23"/>
      <c r="H54" s="23"/>
      <c r="I54" s="23"/>
      <c r="J54" s="85"/>
    </row>
    <row r="55" spans="1:10" ht="19.5" customHeight="1" x14ac:dyDescent="0.25">
      <c r="A55" s="78"/>
      <c r="B55" s="87"/>
      <c r="C55" s="48" t="s">
        <v>15</v>
      </c>
      <c r="D55" s="23"/>
      <c r="E55" s="23"/>
      <c r="F55" s="23">
        <f>2633931.16+19348.56</f>
        <v>2653279.7200000002</v>
      </c>
      <c r="G55" s="23"/>
      <c r="H55" s="23"/>
      <c r="I55" s="23"/>
      <c r="J55" s="86"/>
    </row>
    <row r="56" spans="1:10" ht="22.5" x14ac:dyDescent="0.25">
      <c r="A56" s="102" t="s">
        <v>17</v>
      </c>
      <c r="B56" s="87" t="s">
        <v>10</v>
      </c>
      <c r="C56" s="24" t="s">
        <v>11</v>
      </c>
      <c r="D56" s="22">
        <f t="shared" ref="D56:D88" si="4">SUM(E56:I56)</f>
        <v>13777953.370000001</v>
      </c>
      <c r="E56" s="25">
        <f>SUM(E58:E59)</f>
        <v>0</v>
      </c>
      <c r="F56" s="25">
        <f>SUM(F57:F59)</f>
        <v>13777953.370000001</v>
      </c>
      <c r="G56" s="25"/>
      <c r="H56" s="25"/>
      <c r="I56" s="25"/>
      <c r="J56" s="84" t="s">
        <v>18</v>
      </c>
    </row>
    <row r="57" spans="1:10" ht="14.45" customHeight="1" x14ac:dyDescent="0.25">
      <c r="A57" s="102"/>
      <c r="B57" s="87"/>
      <c r="C57" s="24" t="s">
        <v>13</v>
      </c>
      <c r="D57" s="22">
        <f t="shared" si="4"/>
        <v>0</v>
      </c>
      <c r="E57" s="25">
        <v>0</v>
      </c>
      <c r="F57" s="25">
        <f>F81+F85</f>
        <v>0</v>
      </c>
      <c r="G57" s="25"/>
      <c r="H57" s="25"/>
      <c r="I57" s="25"/>
      <c r="J57" s="85"/>
    </row>
    <row r="58" spans="1:10" ht="13.15" customHeight="1" x14ac:dyDescent="0.25">
      <c r="A58" s="109"/>
      <c r="B58" s="113"/>
      <c r="C58" s="24" t="s">
        <v>14</v>
      </c>
      <c r="D58" s="22">
        <f t="shared" si="4"/>
        <v>0</v>
      </c>
      <c r="E58" s="22">
        <f>E78</f>
        <v>0</v>
      </c>
      <c r="F58" s="22">
        <f>F82+F86</f>
        <v>0</v>
      </c>
      <c r="G58" s="22"/>
      <c r="H58" s="22"/>
      <c r="I58" s="22"/>
      <c r="J58" s="85"/>
    </row>
    <row r="59" spans="1:10" ht="14.45" customHeight="1" x14ac:dyDescent="0.25">
      <c r="A59" s="109"/>
      <c r="B59" s="113"/>
      <c r="C59" s="24" t="s">
        <v>15</v>
      </c>
      <c r="D59" s="22">
        <f t="shared" si="4"/>
        <v>13777953.370000001</v>
      </c>
      <c r="E59" s="22">
        <f>E60+E64+E68+E72+E79</f>
        <v>0</v>
      </c>
      <c r="F59" s="22">
        <f>F83+F87</f>
        <v>13777953.370000001</v>
      </c>
      <c r="G59" s="22"/>
      <c r="H59" s="22"/>
      <c r="I59" s="22"/>
      <c r="J59" s="85"/>
    </row>
    <row r="60" spans="1:10" ht="13.9" hidden="1" customHeight="1" x14ac:dyDescent="0.25">
      <c r="A60" s="76" t="s">
        <v>19</v>
      </c>
      <c r="B60" s="73" t="s">
        <v>10</v>
      </c>
      <c r="C60" s="24" t="s">
        <v>11</v>
      </c>
      <c r="D60" s="23">
        <f t="shared" si="4"/>
        <v>0</v>
      </c>
      <c r="E60" s="23"/>
      <c r="F60" s="23"/>
      <c r="G60" s="23"/>
      <c r="H60" s="23"/>
      <c r="I60" s="23"/>
      <c r="J60" s="85"/>
    </row>
    <row r="61" spans="1:10" ht="14.45" hidden="1" customHeight="1" x14ac:dyDescent="0.25">
      <c r="A61" s="77"/>
      <c r="B61" s="74"/>
      <c r="C61" s="24" t="s">
        <v>13</v>
      </c>
      <c r="D61" s="23">
        <f t="shared" si="4"/>
        <v>0</v>
      </c>
      <c r="E61" s="23"/>
      <c r="F61" s="23"/>
      <c r="G61" s="23"/>
      <c r="H61" s="23"/>
      <c r="I61" s="23"/>
      <c r="J61" s="85"/>
    </row>
    <row r="62" spans="1:10" ht="15.6" hidden="1" customHeight="1" x14ac:dyDescent="0.25">
      <c r="A62" s="77"/>
      <c r="B62" s="74"/>
      <c r="C62" s="24" t="s">
        <v>14</v>
      </c>
      <c r="D62" s="23">
        <f t="shared" si="4"/>
        <v>0</v>
      </c>
      <c r="E62" s="23"/>
      <c r="F62" s="23"/>
      <c r="G62" s="23"/>
      <c r="H62" s="23"/>
      <c r="I62" s="23"/>
      <c r="J62" s="85"/>
    </row>
    <row r="63" spans="1:10" ht="15.6" hidden="1" customHeight="1" x14ac:dyDescent="0.25">
      <c r="A63" s="78"/>
      <c r="B63" s="75"/>
      <c r="C63" s="24" t="s">
        <v>15</v>
      </c>
      <c r="D63" s="23">
        <f t="shared" si="4"/>
        <v>0</v>
      </c>
      <c r="E63" s="23"/>
      <c r="F63" s="23"/>
      <c r="G63" s="23"/>
      <c r="H63" s="23"/>
      <c r="I63" s="23"/>
      <c r="J63" s="85"/>
    </row>
    <row r="64" spans="1:10" ht="13.9" hidden="1" customHeight="1" x14ac:dyDescent="0.25">
      <c r="A64" s="76" t="s">
        <v>20</v>
      </c>
      <c r="B64" s="73" t="s">
        <v>10</v>
      </c>
      <c r="C64" s="24" t="s">
        <v>11</v>
      </c>
      <c r="D64" s="23">
        <f t="shared" si="4"/>
        <v>0</v>
      </c>
      <c r="E64" s="23"/>
      <c r="F64" s="23"/>
      <c r="G64" s="23"/>
      <c r="H64" s="23"/>
      <c r="I64" s="23"/>
      <c r="J64" s="85"/>
    </row>
    <row r="65" spans="1:10" ht="13.15" hidden="1" customHeight="1" x14ac:dyDescent="0.25">
      <c r="A65" s="77"/>
      <c r="B65" s="74"/>
      <c r="C65" s="24" t="s">
        <v>13</v>
      </c>
      <c r="D65" s="23">
        <f t="shared" si="4"/>
        <v>0</v>
      </c>
      <c r="E65" s="23"/>
      <c r="F65" s="23"/>
      <c r="G65" s="23"/>
      <c r="H65" s="23"/>
      <c r="I65" s="23"/>
      <c r="J65" s="85"/>
    </row>
    <row r="66" spans="1:10" ht="13.15" hidden="1" customHeight="1" x14ac:dyDescent="0.25">
      <c r="A66" s="77"/>
      <c r="B66" s="74"/>
      <c r="C66" s="24" t="s">
        <v>14</v>
      </c>
      <c r="D66" s="23">
        <f t="shared" si="4"/>
        <v>0</v>
      </c>
      <c r="E66" s="23"/>
      <c r="F66" s="23"/>
      <c r="G66" s="23"/>
      <c r="H66" s="23"/>
      <c r="I66" s="23"/>
      <c r="J66" s="85"/>
    </row>
    <row r="67" spans="1:10" ht="13.15" hidden="1" customHeight="1" x14ac:dyDescent="0.25">
      <c r="A67" s="78"/>
      <c r="B67" s="75"/>
      <c r="C67" s="24" t="s">
        <v>15</v>
      </c>
      <c r="D67" s="23">
        <f t="shared" si="4"/>
        <v>0</v>
      </c>
      <c r="E67" s="23"/>
      <c r="F67" s="23"/>
      <c r="G67" s="23"/>
      <c r="H67" s="23"/>
      <c r="I67" s="23"/>
      <c r="J67" s="85"/>
    </row>
    <row r="68" spans="1:10" ht="13.9" hidden="1" customHeight="1" x14ac:dyDescent="0.25">
      <c r="A68" s="76" t="s">
        <v>92</v>
      </c>
      <c r="B68" s="73" t="s">
        <v>10</v>
      </c>
      <c r="C68" s="24" t="s">
        <v>11</v>
      </c>
      <c r="D68" s="23">
        <f t="shared" si="4"/>
        <v>0</v>
      </c>
      <c r="E68" s="23"/>
      <c r="F68" s="25"/>
      <c r="G68" s="26"/>
      <c r="H68" s="26"/>
      <c r="I68" s="23"/>
      <c r="J68" s="85"/>
    </row>
    <row r="69" spans="1:10" ht="12.6" hidden="1" customHeight="1" x14ac:dyDescent="0.25">
      <c r="A69" s="77"/>
      <c r="B69" s="74"/>
      <c r="C69" s="24" t="s">
        <v>13</v>
      </c>
      <c r="D69" s="23">
        <f t="shared" si="4"/>
        <v>0</v>
      </c>
      <c r="E69" s="23"/>
      <c r="F69" s="25"/>
      <c r="G69" s="26"/>
      <c r="H69" s="26"/>
      <c r="I69" s="23"/>
      <c r="J69" s="85"/>
    </row>
    <row r="70" spans="1:10" ht="15" hidden="1" customHeight="1" x14ac:dyDescent="0.25">
      <c r="A70" s="77"/>
      <c r="B70" s="74"/>
      <c r="C70" s="24" t="s">
        <v>14</v>
      </c>
      <c r="D70" s="23">
        <f t="shared" si="4"/>
        <v>0</v>
      </c>
      <c r="E70" s="23"/>
      <c r="F70" s="25"/>
      <c r="G70" s="26"/>
      <c r="H70" s="26"/>
      <c r="I70" s="23"/>
      <c r="J70" s="85"/>
    </row>
    <row r="71" spans="1:10" ht="15.6" hidden="1" customHeight="1" x14ac:dyDescent="0.25">
      <c r="A71" s="78"/>
      <c r="B71" s="75"/>
      <c r="C71" s="24" t="s">
        <v>15</v>
      </c>
      <c r="D71" s="23">
        <f t="shared" si="4"/>
        <v>0</v>
      </c>
      <c r="E71" s="23"/>
      <c r="F71" s="25"/>
      <c r="G71" s="26"/>
      <c r="H71" s="26"/>
      <c r="I71" s="23"/>
      <c r="J71" s="85"/>
    </row>
    <row r="72" spans="1:10" ht="15.6" hidden="1" customHeight="1" x14ac:dyDescent="0.25">
      <c r="A72" s="76" t="s">
        <v>93</v>
      </c>
      <c r="B72" s="73" t="s">
        <v>10</v>
      </c>
      <c r="C72" s="24" t="s">
        <v>11</v>
      </c>
      <c r="D72" s="23">
        <f t="shared" si="4"/>
        <v>0</v>
      </c>
      <c r="E72" s="23"/>
      <c r="F72" s="23"/>
      <c r="G72" s="23"/>
      <c r="H72" s="23"/>
      <c r="I72" s="23"/>
      <c r="J72" s="85"/>
    </row>
    <row r="73" spans="1:10" ht="14.45" hidden="1" customHeight="1" x14ac:dyDescent="0.25">
      <c r="A73" s="77"/>
      <c r="B73" s="74"/>
      <c r="C73" s="24" t="s">
        <v>13</v>
      </c>
      <c r="D73" s="23">
        <f t="shared" si="4"/>
        <v>0</v>
      </c>
      <c r="E73" s="23"/>
      <c r="F73" s="23"/>
      <c r="G73" s="23"/>
      <c r="H73" s="23"/>
      <c r="I73" s="23"/>
      <c r="J73" s="85"/>
    </row>
    <row r="74" spans="1:10" ht="14.45" hidden="1" customHeight="1" x14ac:dyDescent="0.25">
      <c r="A74" s="77"/>
      <c r="B74" s="74"/>
      <c r="C74" s="24" t="s">
        <v>14</v>
      </c>
      <c r="D74" s="23">
        <f t="shared" si="4"/>
        <v>0</v>
      </c>
      <c r="E74" s="23"/>
      <c r="F74" s="23"/>
      <c r="G74" s="23"/>
      <c r="H74" s="23"/>
      <c r="I74" s="23"/>
      <c r="J74" s="85"/>
    </row>
    <row r="75" spans="1:10" ht="15" hidden="1" customHeight="1" x14ac:dyDescent="0.25">
      <c r="A75" s="78"/>
      <c r="B75" s="75"/>
      <c r="C75" s="24" t="s">
        <v>15</v>
      </c>
      <c r="D75" s="23">
        <f t="shared" si="4"/>
        <v>0</v>
      </c>
      <c r="E75" s="23"/>
      <c r="F75" s="23"/>
      <c r="G75" s="23"/>
      <c r="H75" s="23"/>
      <c r="I75" s="23"/>
      <c r="J75" s="85"/>
    </row>
    <row r="76" spans="1:10" ht="22.5" hidden="1" x14ac:dyDescent="0.25">
      <c r="A76" s="101" t="s">
        <v>145</v>
      </c>
      <c r="B76" s="87" t="s">
        <v>10</v>
      </c>
      <c r="C76" s="24" t="s">
        <v>11</v>
      </c>
      <c r="D76" s="23">
        <f t="shared" si="4"/>
        <v>0</v>
      </c>
      <c r="E76" s="23"/>
      <c r="F76" s="23"/>
      <c r="G76" s="23"/>
      <c r="H76" s="23"/>
      <c r="I76" s="23"/>
      <c r="J76" s="85"/>
    </row>
    <row r="77" spans="1:10" ht="14.45" hidden="1" customHeight="1" x14ac:dyDescent="0.25">
      <c r="A77" s="101"/>
      <c r="B77" s="87"/>
      <c r="C77" s="24" t="s">
        <v>13</v>
      </c>
      <c r="D77" s="23">
        <f t="shared" si="4"/>
        <v>0</v>
      </c>
      <c r="E77" s="23"/>
      <c r="F77" s="23"/>
      <c r="G77" s="23"/>
      <c r="H77" s="23"/>
      <c r="I77" s="23"/>
      <c r="J77" s="85"/>
    </row>
    <row r="78" spans="1:10" ht="14.45" hidden="1" customHeight="1" x14ac:dyDescent="0.25">
      <c r="A78" s="109"/>
      <c r="B78" s="87"/>
      <c r="C78" s="24" t="s">
        <v>14</v>
      </c>
      <c r="D78" s="23">
        <f t="shared" si="4"/>
        <v>0</v>
      </c>
      <c r="E78" s="23"/>
      <c r="F78" s="23"/>
      <c r="G78" s="23"/>
      <c r="H78" s="23"/>
      <c r="I78" s="23"/>
      <c r="J78" s="85"/>
    </row>
    <row r="79" spans="1:10" ht="15" hidden="1" customHeight="1" x14ac:dyDescent="0.25">
      <c r="A79" s="109"/>
      <c r="B79" s="87"/>
      <c r="C79" s="24" t="s">
        <v>15</v>
      </c>
      <c r="D79" s="23">
        <f t="shared" si="4"/>
        <v>0</v>
      </c>
      <c r="E79" s="23"/>
      <c r="F79" s="23"/>
      <c r="G79" s="23"/>
      <c r="H79" s="23"/>
      <c r="I79" s="23"/>
      <c r="J79" s="85"/>
    </row>
    <row r="80" spans="1:10" ht="15" customHeight="1" x14ac:dyDescent="0.25">
      <c r="A80" s="76" t="s">
        <v>226</v>
      </c>
      <c r="B80" s="87" t="s">
        <v>10</v>
      </c>
      <c r="C80" s="32" t="s">
        <v>11</v>
      </c>
      <c r="D80" s="23">
        <f t="shared" si="4"/>
        <v>7394044.0200000005</v>
      </c>
      <c r="E80" s="23"/>
      <c r="F80" s="23">
        <f>SUM(F81:F83)</f>
        <v>7394044.0200000005</v>
      </c>
      <c r="G80" s="23"/>
      <c r="H80" s="23"/>
      <c r="I80" s="23"/>
      <c r="J80" s="85"/>
    </row>
    <row r="81" spans="1:10" ht="15" customHeight="1" x14ac:dyDescent="0.25">
      <c r="A81" s="77"/>
      <c r="B81" s="87"/>
      <c r="C81" s="32" t="s">
        <v>13</v>
      </c>
      <c r="D81" s="23">
        <f t="shared" si="4"/>
        <v>0</v>
      </c>
      <c r="E81" s="23"/>
      <c r="F81" s="23">
        <v>0</v>
      </c>
      <c r="G81" s="23"/>
      <c r="H81" s="23"/>
      <c r="I81" s="23"/>
      <c r="J81" s="85"/>
    </row>
    <row r="82" spans="1:10" ht="15" customHeight="1" x14ac:dyDescent="0.25">
      <c r="A82" s="77"/>
      <c r="B82" s="87"/>
      <c r="C82" s="32" t="s">
        <v>14</v>
      </c>
      <c r="D82" s="23">
        <f t="shared" si="4"/>
        <v>0</v>
      </c>
      <c r="E82" s="23"/>
      <c r="F82" s="23">
        <v>0</v>
      </c>
      <c r="G82" s="23"/>
      <c r="H82" s="23"/>
      <c r="I82" s="23"/>
      <c r="J82" s="85"/>
    </row>
    <row r="83" spans="1:10" ht="15" customHeight="1" x14ac:dyDescent="0.25">
      <c r="A83" s="78"/>
      <c r="B83" s="87"/>
      <c r="C83" s="32" t="s">
        <v>15</v>
      </c>
      <c r="D83" s="23">
        <f t="shared" si="4"/>
        <v>7394044.0200000005</v>
      </c>
      <c r="E83" s="23"/>
      <c r="F83" s="23">
        <f>9141100.8+159583.44-1906640.22</f>
        <v>7394044.0200000005</v>
      </c>
      <c r="G83" s="23"/>
      <c r="H83" s="23"/>
      <c r="I83" s="23"/>
      <c r="J83" s="85"/>
    </row>
    <row r="84" spans="1:10" ht="15" customHeight="1" x14ac:dyDescent="0.25">
      <c r="A84" s="76" t="s">
        <v>227</v>
      </c>
      <c r="B84" s="87" t="s">
        <v>10</v>
      </c>
      <c r="C84" s="33" t="s">
        <v>11</v>
      </c>
      <c r="D84" s="23">
        <f t="shared" si="4"/>
        <v>6383909.3499999996</v>
      </c>
      <c r="E84" s="23"/>
      <c r="F84" s="23">
        <f>SUM(F85:F87)</f>
        <v>6383909.3499999996</v>
      </c>
      <c r="G84" s="23"/>
      <c r="H84" s="23"/>
      <c r="I84" s="23"/>
      <c r="J84" s="85"/>
    </row>
    <row r="85" spans="1:10" ht="15" customHeight="1" x14ac:dyDescent="0.25">
      <c r="A85" s="77"/>
      <c r="B85" s="87"/>
      <c r="C85" s="33" t="s">
        <v>13</v>
      </c>
      <c r="D85" s="23">
        <f t="shared" si="4"/>
        <v>0</v>
      </c>
      <c r="E85" s="23"/>
      <c r="F85" s="23">
        <v>0</v>
      </c>
      <c r="G85" s="23"/>
      <c r="H85" s="23"/>
      <c r="I85" s="23"/>
      <c r="J85" s="85"/>
    </row>
    <row r="86" spans="1:10" ht="15" customHeight="1" x14ac:dyDescent="0.25">
      <c r="A86" s="77"/>
      <c r="B86" s="87"/>
      <c r="C86" s="33" t="s">
        <v>14</v>
      </c>
      <c r="D86" s="23">
        <f t="shared" si="4"/>
        <v>0</v>
      </c>
      <c r="E86" s="23"/>
      <c r="F86" s="23">
        <v>0</v>
      </c>
      <c r="G86" s="23"/>
      <c r="H86" s="23"/>
      <c r="I86" s="23"/>
      <c r="J86" s="85"/>
    </row>
    <row r="87" spans="1:10" ht="15" customHeight="1" x14ac:dyDescent="0.25">
      <c r="A87" s="78"/>
      <c r="B87" s="87"/>
      <c r="C87" s="33" t="s">
        <v>15</v>
      </c>
      <c r="D87" s="23">
        <f t="shared" si="4"/>
        <v>6383909.3499999996</v>
      </c>
      <c r="E87" s="23"/>
      <c r="F87" s="23">
        <v>6383909.3499999996</v>
      </c>
      <c r="G87" s="23"/>
      <c r="H87" s="23"/>
      <c r="I87" s="23"/>
      <c r="J87" s="86"/>
    </row>
    <row r="88" spans="1:10" ht="13.9" customHeight="1" x14ac:dyDescent="0.25">
      <c r="A88" s="102" t="s">
        <v>94</v>
      </c>
      <c r="B88" s="87" t="s">
        <v>10</v>
      </c>
      <c r="C88" s="24" t="s">
        <v>11</v>
      </c>
      <c r="D88" s="22">
        <f t="shared" si="4"/>
        <v>1910452.45</v>
      </c>
      <c r="E88" s="25">
        <f>SUM(E90:E91)</f>
        <v>1910452.45</v>
      </c>
      <c r="F88" s="25"/>
      <c r="G88" s="25"/>
      <c r="H88" s="25"/>
      <c r="I88" s="25"/>
      <c r="J88" s="110" t="s">
        <v>21</v>
      </c>
    </row>
    <row r="89" spans="1:10" ht="13.9" customHeight="1" x14ac:dyDescent="0.25">
      <c r="A89" s="102"/>
      <c r="B89" s="87"/>
      <c r="C89" s="24" t="s">
        <v>13</v>
      </c>
      <c r="D89" s="22"/>
      <c r="E89" s="25">
        <f>E93+E97</f>
        <v>0</v>
      </c>
      <c r="F89" s="25"/>
      <c r="G89" s="25"/>
      <c r="H89" s="25"/>
      <c r="I89" s="25"/>
      <c r="J89" s="110"/>
    </row>
    <row r="90" spans="1:10" ht="13.15" customHeight="1" x14ac:dyDescent="0.25">
      <c r="A90" s="102"/>
      <c r="B90" s="87"/>
      <c r="C90" s="24" t="s">
        <v>14</v>
      </c>
      <c r="D90" s="22">
        <f>SUM(E90:I90)</f>
        <v>67819.17</v>
      </c>
      <c r="E90" s="22">
        <f>E98</f>
        <v>67819.17</v>
      </c>
      <c r="F90" s="22"/>
      <c r="G90" s="22"/>
      <c r="H90" s="22"/>
      <c r="I90" s="22"/>
      <c r="J90" s="110"/>
    </row>
    <row r="91" spans="1:10" ht="14.45" customHeight="1" x14ac:dyDescent="0.25">
      <c r="A91" s="102"/>
      <c r="B91" s="87"/>
      <c r="C91" s="24" t="s">
        <v>15</v>
      </c>
      <c r="D91" s="22">
        <f>SUM(E91:I91)</f>
        <v>1842633.28</v>
      </c>
      <c r="E91" s="22">
        <f>E92+E99</f>
        <v>1842633.28</v>
      </c>
      <c r="F91" s="22"/>
      <c r="G91" s="22"/>
      <c r="H91" s="22"/>
      <c r="I91" s="22"/>
      <c r="J91" s="110"/>
    </row>
    <row r="92" spans="1:10" ht="12" customHeight="1" x14ac:dyDescent="0.25">
      <c r="A92" s="76" t="s">
        <v>219</v>
      </c>
      <c r="B92" s="87" t="s">
        <v>10</v>
      </c>
      <c r="C92" s="24" t="s">
        <v>11</v>
      </c>
      <c r="D92" s="23">
        <f>SUM(E92:I92)</f>
        <v>1760024.05</v>
      </c>
      <c r="E92" s="23">
        <f>SUM(E93:E95)</f>
        <v>1760024.05</v>
      </c>
      <c r="F92" s="23"/>
      <c r="G92" s="23"/>
      <c r="H92" s="23"/>
      <c r="I92" s="23"/>
      <c r="J92" s="110"/>
    </row>
    <row r="93" spans="1:10" ht="12" customHeight="1" x14ac:dyDescent="0.25">
      <c r="A93" s="77"/>
      <c r="B93" s="87"/>
      <c r="C93" s="24" t="s">
        <v>13</v>
      </c>
      <c r="D93" s="23">
        <f>SUM(E94:I94)</f>
        <v>0</v>
      </c>
      <c r="E93" s="23">
        <v>0</v>
      </c>
      <c r="F93" s="23"/>
      <c r="G93" s="23"/>
      <c r="H93" s="23"/>
      <c r="I93" s="23"/>
      <c r="J93" s="110"/>
    </row>
    <row r="94" spans="1:10" ht="12.6" customHeight="1" x14ac:dyDescent="0.25">
      <c r="A94" s="77"/>
      <c r="B94" s="87"/>
      <c r="C94" s="24" t="s">
        <v>14</v>
      </c>
      <c r="D94" s="23">
        <f t="shared" ref="D94:D141" si="5">SUM(E94:I94)</f>
        <v>0</v>
      </c>
      <c r="E94" s="23">
        <v>0</v>
      </c>
      <c r="F94" s="23"/>
      <c r="G94" s="23"/>
      <c r="H94" s="23"/>
      <c r="I94" s="23"/>
      <c r="J94" s="110"/>
    </row>
    <row r="95" spans="1:10" ht="24" customHeight="1" x14ac:dyDescent="0.25">
      <c r="A95" s="78"/>
      <c r="B95" s="87"/>
      <c r="C95" s="24" t="s">
        <v>15</v>
      </c>
      <c r="D95" s="23">
        <f t="shared" si="5"/>
        <v>1760024.05</v>
      </c>
      <c r="E95" s="23">
        <v>1760024.05</v>
      </c>
      <c r="F95" s="23"/>
      <c r="G95" s="23"/>
      <c r="H95" s="23"/>
      <c r="I95" s="23"/>
      <c r="J95" s="110"/>
    </row>
    <row r="96" spans="1:10" ht="22.5" x14ac:dyDescent="0.25">
      <c r="A96" s="101" t="s">
        <v>220</v>
      </c>
      <c r="B96" s="87" t="s">
        <v>10</v>
      </c>
      <c r="C96" s="24" t="s">
        <v>11</v>
      </c>
      <c r="D96" s="23">
        <f t="shared" si="5"/>
        <v>150428.4</v>
      </c>
      <c r="E96" s="23">
        <f>SUM(E97:E99)</f>
        <v>150428.4</v>
      </c>
      <c r="F96" s="23"/>
      <c r="G96" s="23"/>
      <c r="H96" s="23"/>
      <c r="I96" s="23"/>
      <c r="J96" s="110"/>
    </row>
    <row r="97" spans="1:10" ht="13.15" customHeight="1" x14ac:dyDescent="0.25">
      <c r="A97" s="101"/>
      <c r="B97" s="87"/>
      <c r="C97" s="24" t="s">
        <v>13</v>
      </c>
      <c r="D97" s="23">
        <f t="shared" si="5"/>
        <v>0</v>
      </c>
      <c r="E97" s="23">
        <v>0</v>
      </c>
      <c r="F97" s="23"/>
      <c r="G97" s="23"/>
      <c r="H97" s="23"/>
      <c r="I97" s="23"/>
      <c r="J97" s="110"/>
    </row>
    <row r="98" spans="1:10" ht="13.15" customHeight="1" x14ac:dyDescent="0.25">
      <c r="A98" s="101"/>
      <c r="B98" s="87"/>
      <c r="C98" s="24" t="s">
        <v>14</v>
      </c>
      <c r="D98" s="23">
        <f t="shared" si="5"/>
        <v>67819.17</v>
      </c>
      <c r="E98" s="23">
        <v>67819.17</v>
      </c>
      <c r="F98" s="23"/>
      <c r="G98" s="23"/>
      <c r="H98" s="23"/>
      <c r="I98" s="23"/>
      <c r="J98" s="110"/>
    </row>
    <row r="99" spans="1:10" ht="13.15" customHeight="1" x14ac:dyDescent="0.25">
      <c r="A99" s="101"/>
      <c r="B99" s="87"/>
      <c r="C99" s="24" t="s">
        <v>15</v>
      </c>
      <c r="D99" s="23">
        <f t="shared" si="5"/>
        <v>82609.23</v>
      </c>
      <c r="E99" s="23">
        <v>82609.23</v>
      </c>
      <c r="F99" s="23"/>
      <c r="G99" s="23"/>
      <c r="H99" s="23"/>
      <c r="I99" s="23"/>
      <c r="J99" s="110"/>
    </row>
    <row r="100" spans="1:10" ht="14.45" customHeight="1" x14ac:dyDescent="0.25">
      <c r="A100" s="102" t="s">
        <v>176</v>
      </c>
      <c r="B100" s="87" t="s">
        <v>10</v>
      </c>
      <c r="C100" s="24" t="s">
        <v>11</v>
      </c>
      <c r="D100" s="22">
        <f t="shared" si="5"/>
        <v>566230.82999999996</v>
      </c>
      <c r="E100" s="25"/>
      <c r="F100" s="25">
        <f>F132+F136</f>
        <v>566230.82999999996</v>
      </c>
      <c r="G100" s="25"/>
      <c r="H100" s="25"/>
      <c r="I100" s="25"/>
      <c r="J100" s="103" t="s">
        <v>22</v>
      </c>
    </row>
    <row r="101" spans="1:10" ht="13.15" customHeight="1" x14ac:dyDescent="0.25">
      <c r="A101" s="102"/>
      <c r="B101" s="87"/>
      <c r="C101" s="24" t="s">
        <v>13</v>
      </c>
      <c r="D101" s="22">
        <f t="shared" si="5"/>
        <v>0</v>
      </c>
      <c r="E101" s="25"/>
      <c r="F101" s="25">
        <f>F133+F137</f>
        <v>0</v>
      </c>
      <c r="G101" s="25"/>
      <c r="H101" s="25"/>
      <c r="I101" s="25"/>
      <c r="J101" s="104"/>
    </row>
    <row r="102" spans="1:10" ht="13.15" customHeight="1" x14ac:dyDescent="0.25">
      <c r="A102" s="102"/>
      <c r="B102" s="87"/>
      <c r="C102" s="24" t="s">
        <v>14</v>
      </c>
      <c r="D102" s="22">
        <f t="shared" si="5"/>
        <v>447322.41</v>
      </c>
      <c r="E102" s="22"/>
      <c r="F102" s="22">
        <f>F134+F138</f>
        <v>447322.41</v>
      </c>
      <c r="G102" s="22"/>
      <c r="H102" s="22"/>
      <c r="I102" s="22"/>
      <c r="J102" s="104"/>
    </row>
    <row r="103" spans="1:10" ht="16.899999999999999" customHeight="1" x14ac:dyDescent="0.25">
      <c r="A103" s="102"/>
      <c r="B103" s="87"/>
      <c r="C103" s="24" t="s">
        <v>15</v>
      </c>
      <c r="D103" s="22">
        <f t="shared" si="5"/>
        <v>118908.42</v>
      </c>
      <c r="E103" s="22"/>
      <c r="F103" s="22">
        <f>F135+F139</f>
        <v>118908.42</v>
      </c>
      <c r="G103" s="22"/>
      <c r="H103" s="22"/>
      <c r="I103" s="22"/>
      <c r="J103" s="104"/>
    </row>
    <row r="104" spans="1:10" ht="14.45" hidden="1" customHeight="1" x14ac:dyDescent="0.25">
      <c r="A104" s="76" t="s">
        <v>95</v>
      </c>
      <c r="B104" s="73" t="s">
        <v>10</v>
      </c>
      <c r="C104" s="24" t="s">
        <v>11</v>
      </c>
      <c r="D104" s="23">
        <f t="shared" si="5"/>
        <v>0</v>
      </c>
      <c r="E104" s="23"/>
      <c r="F104" s="23"/>
      <c r="G104" s="23"/>
      <c r="H104" s="23"/>
      <c r="I104" s="23"/>
      <c r="J104" s="104"/>
    </row>
    <row r="105" spans="1:10" ht="13.15" hidden="1" customHeight="1" x14ac:dyDescent="0.25">
      <c r="A105" s="77"/>
      <c r="B105" s="74"/>
      <c r="C105" s="24" t="s">
        <v>13</v>
      </c>
      <c r="D105" s="23">
        <f t="shared" si="5"/>
        <v>0</v>
      </c>
      <c r="E105" s="23"/>
      <c r="F105" s="23"/>
      <c r="G105" s="23"/>
      <c r="H105" s="23"/>
      <c r="I105" s="23"/>
      <c r="J105" s="104"/>
    </row>
    <row r="106" spans="1:10" ht="14.45" hidden="1" customHeight="1" x14ac:dyDescent="0.25">
      <c r="A106" s="77"/>
      <c r="B106" s="74"/>
      <c r="C106" s="24" t="s">
        <v>14</v>
      </c>
      <c r="D106" s="23">
        <f t="shared" si="5"/>
        <v>0</v>
      </c>
      <c r="E106" s="23"/>
      <c r="F106" s="23"/>
      <c r="G106" s="23"/>
      <c r="H106" s="23"/>
      <c r="I106" s="23"/>
      <c r="J106" s="104"/>
    </row>
    <row r="107" spans="1:10" ht="14.45" hidden="1" customHeight="1" x14ac:dyDescent="0.25">
      <c r="A107" s="78"/>
      <c r="B107" s="75"/>
      <c r="C107" s="24" t="s">
        <v>15</v>
      </c>
      <c r="D107" s="23">
        <f t="shared" si="5"/>
        <v>0</v>
      </c>
      <c r="E107" s="23"/>
      <c r="F107" s="23"/>
      <c r="G107" s="23"/>
      <c r="H107" s="23"/>
      <c r="I107" s="23"/>
      <c r="J107" s="104"/>
    </row>
    <row r="108" spans="1:10" ht="13.9" hidden="1" customHeight="1" x14ac:dyDescent="0.25">
      <c r="A108" s="76" t="s">
        <v>96</v>
      </c>
      <c r="B108" s="73" t="s">
        <v>10</v>
      </c>
      <c r="C108" s="24" t="s">
        <v>11</v>
      </c>
      <c r="D108" s="23">
        <f t="shared" si="5"/>
        <v>0</v>
      </c>
      <c r="E108" s="23"/>
      <c r="F108" s="23"/>
      <c r="G108" s="23"/>
      <c r="H108" s="23"/>
      <c r="I108" s="23"/>
      <c r="J108" s="104"/>
    </row>
    <row r="109" spans="1:10" ht="12.6" hidden="1" customHeight="1" x14ac:dyDescent="0.25">
      <c r="A109" s="77"/>
      <c r="B109" s="74"/>
      <c r="C109" s="24" t="s">
        <v>13</v>
      </c>
      <c r="D109" s="23">
        <f t="shared" si="5"/>
        <v>0</v>
      </c>
      <c r="E109" s="23"/>
      <c r="F109" s="23"/>
      <c r="G109" s="23"/>
      <c r="H109" s="23"/>
      <c r="I109" s="23"/>
      <c r="J109" s="104"/>
    </row>
    <row r="110" spans="1:10" ht="13.9" hidden="1" customHeight="1" x14ac:dyDescent="0.25">
      <c r="A110" s="77"/>
      <c r="B110" s="74"/>
      <c r="C110" s="24" t="s">
        <v>14</v>
      </c>
      <c r="D110" s="23">
        <f t="shared" si="5"/>
        <v>0</v>
      </c>
      <c r="E110" s="23"/>
      <c r="F110" s="23"/>
      <c r="G110" s="23"/>
      <c r="H110" s="23"/>
      <c r="I110" s="23"/>
      <c r="J110" s="104"/>
    </row>
    <row r="111" spans="1:10" ht="12" hidden="1" customHeight="1" x14ac:dyDescent="0.25">
      <c r="A111" s="78"/>
      <c r="B111" s="75"/>
      <c r="C111" s="24" t="s">
        <v>15</v>
      </c>
      <c r="D111" s="23">
        <f t="shared" si="5"/>
        <v>0</v>
      </c>
      <c r="E111" s="23"/>
      <c r="F111" s="23"/>
      <c r="G111" s="23"/>
      <c r="H111" s="23"/>
      <c r="I111" s="23"/>
      <c r="J111" s="104"/>
    </row>
    <row r="112" spans="1:10" ht="13.9" hidden="1" customHeight="1" x14ac:dyDescent="0.25">
      <c r="A112" s="76" t="s">
        <v>97</v>
      </c>
      <c r="B112" s="73" t="s">
        <v>10</v>
      </c>
      <c r="C112" s="24" t="s">
        <v>11</v>
      </c>
      <c r="D112" s="23">
        <f t="shared" si="5"/>
        <v>0</v>
      </c>
      <c r="E112" s="23"/>
      <c r="F112" s="23"/>
      <c r="G112" s="23"/>
      <c r="H112" s="23"/>
      <c r="I112" s="23"/>
      <c r="J112" s="104"/>
    </row>
    <row r="113" spans="1:10" ht="13.15" hidden="1" customHeight="1" x14ac:dyDescent="0.25">
      <c r="A113" s="77"/>
      <c r="B113" s="74"/>
      <c r="C113" s="24" t="s">
        <v>13</v>
      </c>
      <c r="D113" s="23">
        <f t="shared" si="5"/>
        <v>0</v>
      </c>
      <c r="E113" s="23"/>
      <c r="F113" s="23"/>
      <c r="G113" s="23"/>
      <c r="H113" s="23"/>
      <c r="I113" s="23"/>
      <c r="J113" s="104"/>
    </row>
    <row r="114" spans="1:10" ht="13.15" hidden="1" customHeight="1" x14ac:dyDescent="0.25">
      <c r="A114" s="77"/>
      <c r="B114" s="74"/>
      <c r="C114" s="24" t="s">
        <v>14</v>
      </c>
      <c r="D114" s="23">
        <f t="shared" si="5"/>
        <v>0</v>
      </c>
      <c r="E114" s="23"/>
      <c r="F114" s="23"/>
      <c r="G114" s="23"/>
      <c r="H114" s="23"/>
      <c r="I114" s="23"/>
      <c r="J114" s="104"/>
    </row>
    <row r="115" spans="1:10" ht="13.9" hidden="1" customHeight="1" x14ac:dyDescent="0.25">
      <c r="A115" s="78"/>
      <c r="B115" s="75"/>
      <c r="C115" s="24" t="s">
        <v>15</v>
      </c>
      <c r="D115" s="23">
        <f t="shared" si="5"/>
        <v>0</v>
      </c>
      <c r="E115" s="23"/>
      <c r="F115" s="23"/>
      <c r="G115" s="23"/>
      <c r="H115" s="23"/>
      <c r="I115" s="23"/>
      <c r="J115" s="104"/>
    </row>
    <row r="116" spans="1:10" ht="12.6" hidden="1" customHeight="1" x14ac:dyDescent="0.25">
      <c r="A116" s="76" t="s">
        <v>98</v>
      </c>
      <c r="B116" s="73" t="s">
        <v>10</v>
      </c>
      <c r="C116" s="24" t="s">
        <v>11</v>
      </c>
      <c r="D116" s="23">
        <f t="shared" si="5"/>
        <v>0</v>
      </c>
      <c r="E116" s="23"/>
      <c r="F116" s="23"/>
      <c r="G116" s="23"/>
      <c r="H116" s="23"/>
      <c r="I116" s="23"/>
      <c r="J116" s="104"/>
    </row>
    <row r="117" spans="1:10" ht="13.15" hidden="1" customHeight="1" x14ac:dyDescent="0.25">
      <c r="A117" s="77"/>
      <c r="B117" s="74"/>
      <c r="C117" s="24" t="s">
        <v>13</v>
      </c>
      <c r="D117" s="23">
        <f t="shared" si="5"/>
        <v>0</v>
      </c>
      <c r="E117" s="23"/>
      <c r="F117" s="23"/>
      <c r="G117" s="23"/>
      <c r="H117" s="23"/>
      <c r="I117" s="23"/>
      <c r="J117" s="104"/>
    </row>
    <row r="118" spans="1:10" ht="13.15" hidden="1" customHeight="1" x14ac:dyDescent="0.25">
      <c r="A118" s="77"/>
      <c r="B118" s="74"/>
      <c r="C118" s="24" t="s">
        <v>14</v>
      </c>
      <c r="D118" s="23">
        <f t="shared" si="5"/>
        <v>0</v>
      </c>
      <c r="E118" s="23"/>
      <c r="F118" s="23"/>
      <c r="G118" s="23"/>
      <c r="H118" s="23"/>
      <c r="I118" s="23"/>
      <c r="J118" s="104"/>
    </row>
    <row r="119" spans="1:10" ht="13.9" hidden="1" customHeight="1" x14ac:dyDescent="0.25">
      <c r="A119" s="78"/>
      <c r="B119" s="75"/>
      <c r="C119" s="24" t="s">
        <v>15</v>
      </c>
      <c r="D119" s="23">
        <f t="shared" si="5"/>
        <v>0</v>
      </c>
      <c r="E119" s="23"/>
      <c r="F119" s="23"/>
      <c r="G119" s="23"/>
      <c r="H119" s="23"/>
      <c r="I119" s="23"/>
      <c r="J119" s="104"/>
    </row>
    <row r="120" spans="1:10" ht="13.15" hidden="1" customHeight="1" x14ac:dyDescent="0.25">
      <c r="A120" s="76" t="s">
        <v>99</v>
      </c>
      <c r="B120" s="73" t="s">
        <v>10</v>
      </c>
      <c r="C120" s="24" t="s">
        <v>11</v>
      </c>
      <c r="D120" s="23">
        <f t="shared" si="5"/>
        <v>0</v>
      </c>
      <c r="E120" s="23"/>
      <c r="F120" s="23"/>
      <c r="G120" s="23"/>
      <c r="H120" s="23"/>
      <c r="I120" s="23"/>
      <c r="J120" s="104"/>
    </row>
    <row r="121" spans="1:10" ht="13.15" hidden="1" customHeight="1" x14ac:dyDescent="0.25">
      <c r="A121" s="77"/>
      <c r="B121" s="74"/>
      <c r="C121" s="24" t="s">
        <v>13</v>
      </c>
      <c r="D121" s="23">
        <f t="shared" si="5"/>
        <v>0</v>
      </c>
      <c r="E121" s="23"/>
      <c r="F121" s="23"/>
      <c r="G121" s="23"/>
      <c r="H121" s="23"/>
      <c r="I121" s="23"/>
      <c r="J121" s="104"/>
    </row>
    <row r="122" spans="1:10" ht="13.15" hidden="1" customHeight="1" x14ac:dyDescent="0.25">
      <c r="A122" s="77"/>
      <c r="B122" s="74"/>
      <c r="C122" s="24" t="s">
        <v>14</v>
      </c>
      <c r="D122" s="23">
        <f t="shared" si="5"/>
        <v>0</v>
      </c>
      <c r="E122" s="23"/>
      <c r="F122" s="23"/>
      <c r="G122" s="23"/>
      <c r="H122" s="23"/>
      <c r="I122" s="23"/>
      <c r="J122" s="104"/>
    </row>
    <row r="123" spans="1:10" ht="13.9" hidden="1" customHeight="1" x14ac:dyDescent="0.25">
      <c r="A123" s="78"/>
      <c r="B123" s="75"/>
      <c r="C123" s="24" t="s">
        <v>15</v>
      </c>
      <c r="D123" s="23">
        <f t="shared" si="5"/>
        <v>0</v>
      </c>
      <c r="E123" s="23"/>
      <c r="F123" s="23"/>
      <c r="G123" s="23"/>
      <c r="H123" s="23"/>
      <c r="I123" s="23"/>
      <c r="J123" s="104"/>
    </row>
    <row r="124" spans="1:10" ht="13.9" hidden="1" customHeight="1" x14ac:dyDescent="0.25">
      <c r="A124" s="76" t="s">
        <v>100</v>
      </c>
      <c r="B124" s="73" t="s">
        <v>10</v>
      </c>
      <c r="C124" s="24" t="s">
        <v>11</v>
      </c>
      <c r="D124" s="23">
        <f t="shared" si="5"/>
        <v>0</v>
      </c>
      <c r="E124" s="23"/>
      <c r="F124" s="23"/>
      <c r="G124" s="23"/>
      <c r="H124" s="23"/>
      <c r="I124" s="23"/>
      <c r="J124" s="104"/>
    </row>
    <row r="125" spans="1:10" ht="13.15" hidden="1" customHeight="1" x14ac:dyDescent="0.25">
      <c r="A125" s="77"/>
      <c r="B125" s="74"/>
      <c r="C125" s="24" t="s">
        <v>13</v>
      </c>
      <c r="D125" s="23">
        <f t="shared" si="5"/>
        <v>0</v>
      </c>
      <c r="E125" s="23"/>
      <c r="F125" s="23"/>
      <c r="G125" s="23"/>
      <c r="H125" s="23"/>
      <c r="I125" s="23"/>
      <c r="J125" s="104"/>
    </row>
    <row r="126" spans="1:10" ht="13.9" hidden="1" customHeight="1" x14ac:dyDescent="0.25">
      <c r="A126" s="77"/>
      <c r="B126" s="74"/>
      <c r="C126" s="24" t="s">
        <v>14</v>
      </c>
      <c r="D126" s="23">
        <f t="shared" si="5"/>
        <v>0</v>
      </c>
      <c r="E126" s="23"/>
      <c r="F126" s="23"/>
      <c r="G126" s="23"/>
      <c r="H126" s="23"/>
      <c r="I126" s="23"/>
      <c r="J126" s="104"/>
    </row>
    <row r="127" spans="1:10" ht="14.45" hidden="1" customHeight="1" x14ac:dyDescent="0.25">
      <c r="A127" s="78"/>
      <c r="B127" s="75"/>
      <c r="C127" s="24" t="s">
        <v>15</v>
      </c>
      <c r="D127" s="23">
        <f t="shared" si="5"/>
        <v>0</v>
      </c>
      <c r="E127" s="23"/>
      <c r="F127" s="23"/>
      <c r="G127" s="23"/>
      <c r="H127" s="23"/>
      <c r="I127" s="23"/>
      <c r="J127" s="104"/>
    </row>
    <row r="128" spans="1:10" ht="12.6" hidden="1" customHeight="1" x14ac:dyDescent="0.25">
      <c r="A128" s="76" t="s">
        <v>101</v>
      </c>
      <c r="B128" s="73" t="s">
        <v>10</v>
      </c>
      <c r="C128" s="24" t="s">
        <v>11</v>
      </c>
      <c r="D128" s="23">
        <f t="shared" si="5"/>
        <v>0</v>
      </c>
      <c r="E128" s="23"/>
      <c r="F128" s="23"/>
      <c r="G128" s="23"/>
      <c r="H128" s="23"/>
      <c r="I128" s="23"/>
      <c r="J128" s="104"/>
    </row>
    <row r="129" spans="1:10" ht="12.6" hidden="1" customHeight="1" x14ac:dyDescent="0.25">
      <c r="A129" s="77"/>
      <c r="B129" s="74"/>
      <c r="C129" s="24" t="s">
        <v>13</v>
      </c>
      <c r="D129" s="23">
        <f t="shared" si="5"/>
        <v>0</v>
      </c>
      <c r="E129" s="23"/>
      <c r="F129" s="23"/>
      <c r="G129" s="23"/>
      <c r="H129" s="23"/>
      <c r="I129" s="23"/>
      <c r="J129" s="104"/>
    </row>
    <row r="130" spans="1:10" ht="13.9" hidden="1" customHeight="1" x14ac:dyDescent="0.25">
      <c r="A130" s="77"/>
      <c r="B130" s="74"/>
      <c r="C130" s="24" t="s">
        <v>14</v>
      </c>
      <c r="D130" s="23">
        <f t="shared" si="5"/>
        <v>0</v>
      </c>
      <c r="E130" s="23"/>
      <c r="F130" s="23"/>
      <c r="G130" s="23"/>
      <c r="H130" s="23"/>
      <c r="I130" s="23"/>
      <c r="J130" s="104"/>
    </row>
    <row r="131" spans="1:10" ht="14.45" hidden="1" customHeight="1" x14ac:dyDescent="0.25">
      <c r="A131" s="78"/>
      <c r="B131" s="75"/>
      <c r="C131" s="24" t="s">
        <v>15</v>
      </c>
      <c r="D131" s="23">
        <f t="shared" si="5"/>
        <v>0</v>
      </c>
      <c r="E131" s="23"/>
      <c r="F131" s="23"/>
      <c r="G131" s="23"/>
      <c r="H131" s="23"/>
      <c r="I131" s="23"/>
      <c r="J131" s="104"/>
    </row>
    <row r="132" spans="1:10" ht="14.45" customHeight="1" x14ac:dyDescent="0.25">
      <c r="A132" s="76" t="s">
        <v>178</v>
      </c>
      <c r="B132" s="73" t="s">
        <v>10</v>
      </c>
      <c r="C132" s="33" t="s">
        <v>11</v>
      </c>
      <c r="D132" s="23">
        <f t="shared" si="5"/>
        <v>174686.36</v>
      </c>
      <c r="E132" s="23"/>
      <c r="F132" s="23">
        <f>SUM(F133:F135)</f>
        <v>174686.36</v>
      </c>
      <c r="G132" s="23"/>
      <c r="H132" s="23"/>
      <c r="I132" s="23"/>
      <c r="J132" s="104"/>
    </row>
    <row r="133" spans="1:10" ht="14.45" customHeight="1" x14ac:dyDescent="0.25">
      <c r="A133" s="77"/>
      <c r="B133" s="74"/>
      <c r="C133" s="33" t="s">
        <v>13</v>
      </c>
      <c r="D133" s="23">
        <f t="shared" si="5"/>
        <v>0</v>
      </c>
      <c r="E133" s="23"/>
      <c r="F133" s="23">
        <v>0</v>
      </c>
      <c r="G133" s="23"/>
      <c r="H133" s="23"/>
      <c r="I133" s="23"/>
      <c r="J133" s="104"/>
    </row>
    <row r="134" spans="1:10" ht="14.45" customHeight="1" x14ac:dyDescent="0.25">
      <c r="A134" s="77"/>
      <c r="B134" s="74"/>
      <c r="C134" s="33" t="s">
        <v>14</v>
      </c>
      <c r="D134" s="23">
        <f t="shared" si="5"/>
        <v>138002.25</v>
      </c>
      <c r="E134" s="23"/>
      <c r="F134" s="23">
        <f>138408.25-406</f>
        <v>138002.25</v>
      </c>
      <c r="G134" s="23"/>
      <c r="H134" s="23"/>
      <c r="I134" s="23"/>
      <c r="J134" s="104"/>
    </row>
    <row r="135" spans="1:10" ht="14.45" customHeight="1" x14ac:dyDescent="0.25">
      <c r="A135" s="78"/>
      <c r="B135" s="75"/>
      <c r="C135" s="33" t="s">
        <v>15</v>
      </c>
      <c r="D135" s="23">
        <f t="shared" si="5"/>
        <v>36684.11</v>
      </c>
      <c r="E135" s="23"/>
      <c r="F135" s="23">
        <f>36792.06-107.95</f>
        <v>36684.11</v>
      </c>
      <c r="G135" s="23"/>
      <c r="H135" s="23"/>
      <c r="I135" s="23"/>
      <c r="J135" s="104"/>
    </row>
    <row r="136" spans="1:10" ht="14.45" customHeight="1" x14ac:dyDescent="0.25">
      <c r="A136" s="76" t="s">
        <v>179</v>
      </c>
      <c r="B136" s="73" t="s">
        <v>10</v>
      </c>
      <c r="C136" s="38" t="s">
        <v>11</v>
      </c>
      <c r="D136" s="23">
        <f t="shared" si="5"/>
        <v>391544.47</v>
      </c>
      <c r="E136" s="23"/>
      <c r="F136" s="23">
        <f>SUM(F137:F139)</f>
        <v>391544.47</v>
      </c>
      <c r="G136" s="23"/>
      <c r="H136" s="23"/>
      <c r="I136" s="23"/>
      <c r="J136" s="104"/>
    </row>
    <row r="137" spans="1:10" ht="14.45" customHeight="1" x14ac:dyDescent="0.25">
      <c r="A137" s="77"/>
      <c r="B137" s="74"/>
      <c r="C137" s="38" t="s">
        <v>13</v>
      </c>
      <c r="D137" s="23">
        <f t="shared" si="5"/>
        <v>0</v>
      </c>
      <c r="E137" s="23"/>
      <c r="F137" s="23">
        <v>0</v>
      </c>
      <c r="G137" s="23"/>
      <c r="H137" s="23"/>
      <c r="I137" s="23"/>
      <c r="J137" s="104"/>
    </row>
    <row r="138" spans="1:10" ht="14.45" customHeight="1" x14ac:dyDescent="0.25">
      <c r="A138" s="77"/>
      <c r="B138" s="74"/>
      <c r="C138" s="38" t="s">
        <v>14</v>
      </c>
      <c r="D138" s="23">
        <f t="shared" si="5"/>
        <v>309320.15999999997</v>
      </c>
      <c r="E138" s="23"/>
      <c r="F138" s="23">
        <v>309320.15999999997</v>
      </c>
      <c r="G138" s="23"/>
      <c r="H138" s="23"/>
      <c r="I138" s="23"/>
      <c r="J138" s="104"/>
    </row>
    <row r="139" spans="1:10" ht="14.45" customHeight="1" x14ac:dyDescent="0.25">
      <c r="A139" s="78"/>
      <c r="B139" s="75"/>
      <c r="C139" s="38" t="s">
        <v>15</v>
      </c>
      <c r="D139" s="23">
        <f t="shared" si="5"/>
        <v>82224.31</v>
      </c>
      <c r="E139" s="23"/>
      <c r="F139" s="23">
        <f>111766.58-29542.27</f>
        <v>82224.31</v>
      </c>
      <c r="G139" s="23"/>
      <c r="H139" s="23"/>
      <c r="I139" s="23"/>
      <c r="J139" s="105"/>
    </row>
    <row r="140" spans="1:10" ht="12.6" customHeight="1" x14ac:dyDescent="0.25">
      <c r="A140" s="102" t="s">
        <v>102</v>
      </c>
      <c r="B140" s="87" t="s">
        <v>10</v>
      </c>
      <c r="C140" s="24" t="s">
        <v>11</v>
      </c>
      <c r="D140" s="22">
        <f t="shared" si="5"/>
        <v>3296367.61</v>
      </c>
      <c r="E140" s="22"/>
      <c r="F140" s="22">
        <f>F156+F160+F164+F168</f>
        <v>3296367.61</v>
      </c>
      <c r="G140" s="22"/>
      <c r="H140" s="22"/>
      <c r="I140" s="22"/>
      <c r="J140" s="106" t="s">
        <v>23</v>
      </c>
    </row>
    <row r="141" spans="1:10" ht="12.6" customHeight="1" x14ac:dyDescent="0.25">
      <c r="A141" s="102"/>
      <c r="B141" s="87"/>
      <c r="C141" s="24" t="s">
        <v>13</v>
      </c>
      <c r="D141" s="22">
        <f t="shared" si="5"/>
        <v>0</v>
      </c>
      <c r="E141" s="22"/>
      <c r="F141" s="22">
        <f>F169+F165+F161+F157</f>
        <v>0</v>
      </c>
      <c r="G141" s="22"/>
      <c r="H141" s="22"/>
      <c r="I141" s="22"/>
      <c r="J141" s="107"/>
    </row>
    <row r="142" spans="1:10" ht="13.15" customHeight="1" x14ac:dyDescent="0.25">
      <c r="A142" s="102"/>
      <c r="B142" s="87"/>
      <c r="C142" s="24" t="s">
        <v>14</v>
      </c>
      <c r="D142" s="22">
        <f>SUM(E142:I143)</f>
        <v>3296367.6100000003</v>
      </c>
      <c r="E142" s="22"/>
      <c r="F142" s="22">
        <f>F170+F166+F162+F158</f>
        <v>2604130.54</v>
      </c>
      <c r="G142" s="22"/>
      <c r="H142" s="22"/>
      <c r="I142" s="22"/>
      <c r="J142" s="107"/>
    </row>
    <row r="143" spans="1:10" ht="14.45" customHeight="1" x14ac:dyDescent="0.25">
      <c r="A143" s="102"/>
      <c r="B143" s="87"/>
      <c r="C143" s="24" t="s">
        <v>15</v>
      </c>
      <c r="D143" s="22">
        <f t="shared" ref="D143:D174" si="6">SUM(E143:I143)</f>
        <v>692237.07000000007</v>
      </c>
      <c r="E143" s="22"/>
      <c r="F143" s="22">
        <f>F171+F167+F163+F159</f>
        <v>692237.07000000007</v>
      </c>
      <c r="G143" s="22"/>
      <c r="H143" s="22"/>
      <c r="I143" s="22"/>
      <c r="J143" s="107"/>
    </row>
    <row r="144" spans="1:10" ht="11.45" hidden="1" customHeight="1" x14ac:dyDescent="0.25">
      <c r="A144" s="76" t="s">
        <v>103</v>
      </c>
      <c r="B144" s="73" t="s">
        <v>10</v>
      </c>
      <c r="C144" s="24" t="s">
        <v>11</v>
      </c>
      <c r="D144" s="23">
        <f t="shared" si="6"/>
        <v>0</v>
      </c>
      <c r="E144" s="23"/>
      <c r="F144" s="23"/>
      <c r="G144" s="23"/>
      <c r="H144" s="23"/>
      <c r="I144" s="23"/>
      <c r="J144" s="107"/>
    </row>
    <row r="145" spans="1:10" ht="12.6" hidden="1" customHeight="1" x14ac:dyDescent="0.25">
      <c r="A145" s="77"/>
      <c r="B145" s="74"/>
      <c r="C145" s="24" t="s">
        <v>13</v>
      </c>
      <c r="D145" s="23">
        <f t="shared" si="6"/>
        <v>0</v>
      </c>
      <c r="E145" s="23"/>
      <c r="F145" s="23"/>
      <c r="G145" s="23"/>
      <c r="H145" s="23"/>
      <c r="I145" s="23"/>
      <c r="J145" s="107"/>
    </row>
    <row r="146" spans="1:10" ht="13.9" hidden="1" customHeight="1" x14ac:dyDescent="0.25">
      <c r="A146" s="77"/>
      <c r="B146" s="74"/>
      <c r="C146" s="24" t="s">
        <v>14</v>
      </c>
      <c r="D146" s="23">
        <f t="shared" si="6"/>
        <v>0</v>
      </c>
      <c r="E146" s="23"/>
      <c r="F146" s="23"/>
      <c r="G146" s="23"/>
      <c r="H146" s="23"/>
      <c r="I146" s="23"/>
      <c r="J146" s="107"/>
    </row>
    <row r="147" spans="1:10" ht="11.45" hidden="1" customHeight="1" x14ac:dyDescent="0.25">
      <c r="A147" s="78"/>
      <c r="B147" s="75"/>
      <c r="C147" s="24" t="s">
        <v>15</v>
      </c>
      <c r="D147" s="23">
        <f t="shared" si="6"/>
        <v>0</v>
      </c>
      <c r="E147" s="23"/>
      <c r="F147" s="23"/>
      <c r="G147" s="23"/>
      <c r="H147" s="23"/>
      <c r="I147" s="23"/>
      <c r="J147" s="107"/>
    </row>
    <row r="148" spans="1:10" ht="12.6" hidden="1" customHeight="1" x14ac:dyDescent="0.25">
      <c r="A148" s="76" t="s">
        <v>104</v>
      </c>
      <c r="B148" s="73" t="s">
        <v>10</v>
      </c>
      <c r="C148" s="24" t="s">
        <v>11</v>
      </c>
      <c r="D148" s="23">
        <f t="shared" si="6"/>
        <v>0</v>
      </c>
      <c r="E148" s="23"/>
      <c r="F148" s="23"/>
      <c r="G148" s="23"/>
      <c r="H148" s="23"/>
      <c r="I148" s="23"/>
      <c r="J148" s="107"/>
    </row>
    <row r="149" spans="1:10" ht="13.15" hidden="1" customHeight="1" x14ac:dyDescent="0.25">
      <c r="A149" s="77"/>
      <c r="B149" s="74"/>
      <c r="C149" s="24" t="s">
        <v>13</v>
      </c>
      <c r="D149" s="23">
        <f t="shared" si="6"/>
        <v>0</v>
      </c>
      <c r="E149" s="23"/>
      <c r="F149" s="23"/>
      <c r="G149" s="23"/>
      <c r="H149" s="23"/>
      <c r="I149" s="23"/>
      <c r="J149" s="107"/>
    </row>
    <row r="150" spans="1:10" ht="12.6" hidden="1" customHeight="1" x14ac:dyDescent="0.25">
      <c r="A150" s="77"/>
      <c r="B150" s="74"/>
      <c r="C150" s="24" t="s">
        <v>14</v>
      </c>
      <c r="D150" s="23">
        <f t="shared" si="6"/>
        <v>0</v>
      </c>
      <c r="E150" s="23"/>
      <c r="F150" s="23"/>
      <c r="G150" s="23"/>
      <c r="H150" s="23"/>
      <c r="I150" s="23"/>
      <c r="J150" s="107"/>
    </row>
    <row r="151" spans="1:10" ht="13.9" hidden="1" customHeight="1" x14ac:dyDescent="0.25">
      <c r="A151" s="78"/>
      <c r="B151" s="75"/>
      <c r="C151" s="24" t="s">
        <v>15</v>
      </c>
      <c r="D151" s="23">
        <f t="shared" si="6"/>
        <v>0</v>
      </c>
      <c r="E151" s="23"/>
      <c r="F151" s="23"/>
      <c r="G151" s="23"/>
      <c r="H151" s="23"/>
      <c r="I151" s="23"/>
      <c r="J151" s="107"/>
    </row>
    <row r="152" spans="1:10" ht="12.6" hidden="1" customHeight="1" x14ac:dyDescent="0.25">
      <c r="A152" s="76" t="s">
        <v>105</v>
      </c>
      <c r="B152" s="73" t="s">
        <v>10</v>
      </c>
      <c r="C152" s="24" t="s">
        <v>11</v>
      </c>
      <c r="D152" s="23">
        <f t="shared" si="6"/>
        <v>0</v>
      </c>
      <c r="E152" s="23"/>
      <c r="F152" s="23"/>
      <c r="G152" s="23"/>
      <c r="H152" s="23"/>
      <c r="I152" s="23"/>
      <c r="J152" s="107"/>
    </row>
    <row r="153" spans="1:10" ht="12.6" hidden="1" customHeight="1" x14ac:dyDescent="0.25">
      <c r="A153" s="77"/>
      <c r="B153" s="74"/>
      <c r="C153" s="24" t="s">
        <v>13</v>
      </c>
      <c r="D153" s="23">
        <f t="shared" si="6"/>
        <v>0</v>
      </c>
      <c r="E153" s="23"/>
      <c r="F153" s="23"/>
      <c r="G153" s="23"/>
      <c r="H153" s="23"/>
      <c r="I153" s="23"/>
      <c r="J153" s="107"/>
    </row>
    <row r="154" spans="1:10" ht="12" hidden="1" customHeight="1" x14ac:dyDescent="0.25">
      <c r="A154" s="77"/>
      <c r="B154" s="74"/>
      <c r="C154" s="24" t="s">
        <v>14</v>
      </c>
      <c r="D154" s="23">
        <f t="shared" si="6"/>
        <v>0</v>
      </c>
      <c r="E154" s="23"/>
      <c r="F154" s="23"/>
      <c r="G154" s="23"/>
      <c r="H154" s="23"/>
      <c r="I154" s="23"/>
      <c r="J154" s="107"/>
    </row>
    <row r="155" spans="1:10" ht="12" hidden="1" customHeight="1" x14ac:dyDescent="0.25">
      <c r="A155" s="78"/>
      <c r="B155" s="75"/>
      <c r="C155" s="24" t="s">
        <v>15</v>
      </c>
      <c r="D155" s="23">
        <f t="shared" si="6"/>
        <v>0</v>
      </c>
      <c r="E155" s="23"/>
      <c r="F155" s="23"/>
      <c r="G155" s="23"/>
      <c r="H155" s="23"/>
      <c r="I155" s="23"/>
      <c r="J155" s="107"/>
    </row>
    <row r="156" spans="1:10" ht="12" customHeight="1" x14ac:dyDescent="0.25">
      <c r="A156" s="76" t="s">
        <v>221</v>
      </c>
      <c r="B156" s="73" t="s">
        <v>10</v>
      </c>
      <c r="C156" s="38" t="s">
        <v>11</v>
      </c>
      <c r="D156" s="23">
        <f t="shared" si="6"/>
        <v>924095.84000000008</v>
      </c>
      <c r="E156" s="23"/>
      <c r="F156" s="23">
        <f>SUM(F157:F159)</f>
        <v>924095.84000000008</v>
      </c>
      <c r="G156" s="23"/>
      <c r="H156" s="23"/>
      <c r="I156" s="23"/>
      <c r="J156" s="107"/>
    </row>
    <row r="157" spans="1:10" ht="12" customHeight="1" x14ac:dyDescent="0.25">
      <c r="A157" s="77"/>
      <c r="B157" s="74"/>
      <c r="C157" s="38" t="s">
        <v>13</v>
      </c>
      <c r="D157" s="23">
        <f t="shared" si="6"/>
        <v>0</v>
      </c>
      <c r="E157" s="23"/>
      <c r="F157" s="23">
        <v>0</v>
      </c>
      <c r="G157" s="23"/>
      <c r="H157" s="23"/>
      <c r="I157" s="23"/>
      <c r="J157" s="107"/>
    </row>
    <row r="158" spans="1:10" ht="12" customHeight="1" x14ac:dyDescent="0.25">
      <c r="A158" s="77"/>
      <c r="B158" s="74"/>
      <c r="C158" s="38" t="s">
        <v>14</v>
      </c>
      <c r="D158" s="23">
        <f t="shared" si="6"/>
        <v>730035.76</v>
      </c>
      <c r="E158" s="23"/>
      <c r="F158" s="23">
        <f>729629.76+406</f>
        <v>730035.76</v>
      </c>
      <c r="G158" s="23"/>
      <c r="H158" s="23"/>
      <c r="I158" s="23"/>
      <c r="J158" s="107"/>
    </row>
    <row r="159" spans="1:10" ht="12" customHeight="1" x14ac:dyDescent="0.25">
      <c r="A159" s="78"/>
      <c r="B159" s="75"/>
      <c r="C159" s="38" t="s">
        <v>15</v>
      </c>
      <c r="D159" s="23">
        <f t="shared" si="6"/>
        <v>194060.08000000002</v>
      </c>
      <c r="E159" s="23"/>
      <c r="F159" s="23">
        <f>275109.42-81157.29+107.95</f>
        <v>194060.08000000002</v>
      </c>
      <c r="G159" s="23"/>
      <c r="H159" s="23"/>
      <c r="I159" s="23"/>
      <c r="J159" s="107"/>
    </row>
    <row r="160" spans="1:10" ht="12" customHeight="1" x14ac:dyDescent="0.25">
      <c r="A160" s="76" t="s">
        <v>222</v>
      </c>
      <c r="B160" s="73" t="s">
        <v>10</v>
      </c>
      <c r="C160" s="38" t="s">
        <v>11</v>
      </c>
      <c r="D160" s="23">
        <f t="shared" si="6"/>
        <v>635551.52</v>
      </c>
      <c r="E160" s="23"/>
      <c r="F160" s="23">
        <f>SUM(F161:F163)</f>
        <v>635551.52</v>
      </c>
      <c r="G160" s="23"/>
      <c r="H160" s="23"/>
      <c r="I160" s="23"/>
      <c r="J160" s="107"/>
    </row>
    <row r="161" spans="1:10" ht="12" customHeight="1" x14ac:dyDescent="0.25">
      <c r="A161" s="77"/>
      <c r="B161" s="74"/>
      <c r="C161" s="38" t="s">
        <v>13</v>
      </c>
      <c r="D161" s="23">
        <f t="shared" si="6"/>
        <v>0</v>
      </c>
      <c r="E161" s="23"/>
      <c r="F161" s="23">
        <v>0</v>
      </c>
      <c r="G161" s="23"/>
      <c r="H161" s="23"/>
      <c r="I161" s="23"/>
      <c r="J161" s="107"/>
    </row>
    <row r="162" spans="1:10" ht="12" customHeight="1" x14ac:dyDescent="0.25">
      <c r="A162" s="77"/>
      <c r="B162" s="74"/>
      <c r="C162" s="38" t="s">
        <v>14</v>
      </c>
      <c r="D162" s="23">
        <f t="shared" si="6"/>
        <v>502085.7</v>
      </c>
      <c r="E162" s="23"/>
      <c r="F162" s="23">
        <v>502085.7</v>
      </c>
      <c r="G162" s="23"/>
      <c r="H162" s="23"/>
      <c r="I162" s="23"/>
      <c r="J162" s="107"/>
    </row>
    <row r="163" spans="1:10" ht="12" customHeight="1" x14ac:dyDescent="0.25">
      <c r="A163" s="78"/>
      <c r="B163" s="75"/>
      <c r="C163" s="38" t="s">
        <v>15</v>
      </c>
      <c r="D163" s="23">
        <f t="shared" si="6"/>
        <v>133465.82</v>
      </c>
      <c r="E163" s="23"/>
      <c r="F163" s="23">
        <v>133465.82</v>
      </c>
      <c r="G163" s="23"/>
      <c r="H163" s="23"/>
      <c r="I163" s="23"/>
      <c r="J163" s="107"/>
    </row>
    <row r="164" spans="1:10" ht="12" customHeight="1" x14ac:dyDescent="0.25">
      <c r="A164" s="76" t="s">
        <v>223</v>
      </c>
      <c r="B164" s="73" t="s">
        <v>10</v>
      </c>
      <c r="C164" s="38" t="s">
        <v>11</v>
      </c>
      <c r="D164" s="23">
        <f t="shared" si="6"/>
        <v>715783.98</v>
      </c>
      <c r="E164" s="23"/>
      <c r="F164" s="23">
        <f>SUM(F165:F167)</f>
        <v>715783.98</v>
      </c>
      <c r="G164" s="23"/>
      <c r="H164" s="23"/>
      <c r="I164" s="23"/>
      <c r="J164" s="107"/>
    </row>
    <row r="165" spans="1:10" ht="12" customHeight="1" x14ac:dyDescent="0.25">
      <c r="A165" s="77"/>
      <c r="B165" s="74"/>
      <c r="C165" s="38" t="s">
        <v>13</v>
      </c>
      <c r="D165" s="23">
        <f t="shared" si="6"/>
        <v>0</v>
      </c>
      <c r="E165" s="23"/>
      <c r="F165" s="23">
        <v>0</v>
      </c>
      <c r="G165" s="23"/>
      <c r="H165" s="23"/>
      <c r="I165" s="23"/>
      <c r="J165" s="107"/>
    </row>
    <row r="166" spans="1:10" ht="12" customHeight="1" x14ac:dyDescent="0.25">
      <c r="A166" s="77"/>
      <c r="B166" s="74"/>
      <c r="C166" s="38" t="s">
        <v>14</v>
      </c>
      <c r="D166" s="23">
        <f t="shared" si="6"/>
        <v>565469.34</v>
      </c>
      <c r="E166" s="23"/>
      <c r="F166" s="23">
        <v>565469.34</v>
      </c>
      <c r="G166" s="23"/>
      <c r="H166" s="23"/>
      <c r="I166" s="23"/>
      <c r="J166" s="107"/>
    </row>
    <row r="167" spans="1:10" ht="12" customHeight="1" x14ac:dyDescent="0.25">
      <c r="A167" s="78"/>
      <c r="B167" s="75"/>
      <c r="C167" s="38" t="s">
        <v>15</v>
      </c>
      <c r="D167" s="23">
        <f t="shared" si="6"/>
        <v>150314.64000000001</v>
      </c>
      <c r="E167" s="23"/>
      <c r="F167" s="23">
        <v>150314.64000000001</v>
      </c>
      <c r="G167" s="23"/>
      <c r="H167" s="23"/>
      <c r="I167" s="23"/>
      <c r="J167" s="107"/>
    </row>
    <row r="168" spans="1:10" ht="12" customHeight="1" x14ac:dyDescent="0.25">
      <c r="A168" s="76" t="s">
        <v>224</v>
      </c>
      <c r="B168" s="73" t="s">
        <v>10</v>
      </c>
      <c r="C168" s="38" t="s">
        <v>11</v>
      </c>
      <c r="D168" s="23">
        <f t="shared" si="6"/>
        <v>1020936.27</v>
      </c>
      <c r="E168" s="23"/>
      <c r="F168" s="23">
        <f>SUM(F169:F171)</f>
        <v>1020936.27</v>
      </c>
      <c r="G168" s="23"/>
      <c r="H168" s="23"/>
      <c r="I168" s="23"/>
      <c r="J168" s="107"/>
    </row>
    <row r="169" spans="1:10" ht="12" customHeight="1" x14ac:dyDescent="0.25">
      <c r="A169" s="77"/>
      <c r="B169" s="74"/>
      <c r="C169" s="38" t="s">
        <v>13</v>
      </c>
      <c r="D169" s="23">
        <f t="shared" si="6"/>
        <v>0</v>
      </c>
      <c r="E169" s="23"/>
      <c r="F169" s="23">
        <v>0</v>
      </c>
      <c r="G169" s="23"/>
      <c r="H169" s="23"/>
      <c r="I169" s="23"/>
      <c r="J169" s="107"/>
    </row>
    <row r="170" spans="1:10" ht="12" customHeight="1" x14ac:dyDescent="0.25">
      <c r="A170" s="77"/>
      <c r="B170" s="74"/>
      <c r="C170" s="38" t="s">
        <v>14</v>
      </c>
      <c r="D170" s="23">
        <f t="shared" si="6"/>
        <v>806539.74</v>
      </c>
      <c r="E170" s="23"/>
      <c r="F170" s="23">
        <v>806539.74</v>
      </c>
      <c r="G170" s="23"/>
      <c r="H170" s="23"/>
      <c r="I170" s="23"/>
      <c r="J170" s="107"/>
    </row>
    <row r="171" spans="1:10" ht="12" customHeight="1" x14ac:dyDescent="0.25">
      <c r="A171" s="78"/>
      <c r="B171" s="75"/>
      <c r="C171" s="38" t="s">
        <v>15</v>
      </c>
      <c r="D171" s="23">
        <f t="shared" si="6"/>
        <v>214396.53</v>
      </c>
      <c r="E171" s="23"/>
      <c r="F171" s="23">
        <f>304108.63-89712.1</f>
        <v>214396.53</v>
      </c>
      <c r="G171" s="23"/>
      <c r="H171" s="23"/>
      <c r="I171" s="23"/>
      <c r="J171" s="108"/>
    </row>
    <row r="172" spans="1:10" ht="11.45" customHeight="1" x14ac:dyDescent="0.25">
      <c r="A172" s="66" t="s">
        <v>106</v>
      </c>
      <c r="B172" s="73" t="s">
        <v>6</v>
      </c>
      <c r="C172" s="24" t="s">
        <v>11</v>
      </c>
      <c r="D172" s="22">
        <f t="shared" si="6"/>
        <v>6531949.0300000003</v>
      </c>
      <c r="E172" s="22">
        <f>SUM(E173:E175)</f>
        <v>1121594.1500000001</v>
      </c>
      <c r="F172" s="22">
        <f>SUM(F173:F175)</f>
        <v>1244474.8799999999</v>
      </c>
      <c r="G172" s="22">
        <f>SUM(G173:G175)</f>
        <v>1385880</v>
      </c>
      <c r="H172" s="22">
        <f>SUM(H173:H175)</f>
        <v>1390000</v>
      </c>
      <c r="I172" s="22">
        <f>SUM(I173:I175)</f>
        <v>1390000</v>
      </c>
      <c r="J172" s="84" t="s">
        <v>24</v>
      </c>
    </row>
    <row r="173" spans="1:10" ht="12.6" customHeight="1" x14ac:dyDescent="0.25">
      <c r="A173" s="67"/>
      <c r="B173" s="74"/>
      <c r="C173" s="24" t="s">
        <v>13</v>
      </c>
      <c r="D173" s="22">
        <f t="shared" si="6"/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85"/>
    </row>
    <row r="174" spans="1:10" ht="12" customHeight="1" x14ac:dyDescent="0.25">
      <c r="A174" s="67"/>
      <c r="B174" s="74"/>
      <c r="C174" s="24" t="s">
        <v>14</v>
      </c>
      <c r="D174" s="22">
        <f t="shared" si="6"/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85"/>
    </row>
    <row r="175" spans="1:10" ht="12" customHeight="1" x14ac:dyDescent="0.25">
      <c r="A175" s="68"/>
      <c r="B175" s="75"/>
      <c r="C175" s="24" t="s">
        <v>15</v>
      </c>
      <c r="D175" s="22">
        <f t="shared" ref="D175:D206" si="7">SUM(E175:I175)</f>
        <v>6531949.0300000003</v>
      </c>
      <c r="E175" s="22">
        <f>1653897.35-532303.2</f>
        <v>1121594.1500000001</v>
      </c>
      <c r="F175" s="22">
        <f>1836830.65-84.87-592093.01-177.89</f>
        <v>1244474.8799999999</v>
      </c>
      <c r="G175" s="22">
        <v>1385880</v>
      </c>
      <c r="H175" s="22">
        <v>1390000</v>
      </c>
      <c r="I175" s="22">
        <v>1390000</v>
      </c>
      <c r="J175" s="86"/>
    </row>
    <row r="176" spans="1:10" ht="12.6" customHeight="1" x14ac:dyDescent="0.25">
      <c r="A176" s="66" t="s">
        <v>107</v>
      </c>
      <c r="B176" s="73" t="s">
        <v>10</v>
      </c>
      <c r="C176" s="24" t="s">
        <v>11</v>
      </c>
      <c r="D176" s="22">
        <f t="shared" si="7"/>
        <v>4286097.47</v>
      </c>
      <c r="E176" s="22">
        <f>SUM(E177:E179)</f>
        <v>776508.05999999994</v>
      </c>
      <c r="F176" s="22">
        <f>SUM(F177:F179)</f>
        <v>857419.94000000006</v>
      </c>
      <c r="G176" s="22">
        <f>SUM(G177:G179)</f>
        <v>880969.47</v>
      </c>
      <c r="H176" s="22">
        <f>SUM(H177:H179)</f>
        <v>885600</v>
      </c>
      <c r="I176" s="22">
        <f>SUM(I177:I179)</f>
        <v>885600</v>
      </c>
      <c r="J176" s="84" t="s">
        <v>25</v>
      </c>
    </row>
    <row r="177" spans="1:10" ht="12" customHeight="1" x14ac:dyDescent="0.25">
      <c r="A177" s="67"/>
      <c r="B177" s="74"/>
      <c r="C177" s="24" t="s">
        <v>13</v>
      </c>
      <c r="D177" s="22">
        <f t="shared" si="7"/>
        <v>0</v>
      </c>
      <c r="E177" s="22">
        <f t="shared" ref="E177:I179" si="8">E181+E185+E189+E193</f>
        <v>0</v>
      </c>
      <c r="F177" s="22">
        <f t="shared" si="8"/>
        <v>0</v>
      </c>
      <c r="G177" s="22">
        <f t="shared" si="8"/>
        <v>0</v>
      </c>
      <c r="H177" s="22">
        <f t="shared" si="8"/>
        <v>0</v>
      </c>
      <c r="I177" s="22">
        <f t="shared" si="8"/>
        <v>0</v>
      </c>
      <c r="J177" s="85"/>
    </row>
    <row r="178" spans="1:10" ht="12.6" customHeight="1" x14ac:dyDescent="0.25">
      <c r="A178" s="67"/>
      <c r="B178" s="74"/>
      <c r="C178" s="24" t="s">
        <v>14</v>
      </c>
      <c r="D178" s="22">
        <f t="shared" si="7"/>
        <v>0</v>
      </c>
      <c r="E178" s="22">
        <f t="shared" si="8"/>
        <v>0</v>
      </c>
      <c r="F178" s="22">
        <f t="shared" si="8"/>
        <v>0</v>
      </c>
      <c r="G178" s="22">
        <f t="shared" si="8"/>
        <v>0</v>
      </c>
      <c r="H178" s="22">
        <f t="shared" si="8"/>
        <v>0</v>
      </c>
      <c r="I178" s="22">
        <f t="shared" si="8"/>
        <v>0</v>
      </c>
      <c r="J178" s="85"/>
    </row>
    <row r="179" spans="1:10" ht="12.6" customHeight="1" x14ac:dyDescent="0.25">
      <c r="A179" s="68"/>
      <c r="B179" s="75"/>
      <c r="C179" s="24" t="s">
        <v>15</v>
      </c>
      <c r="D179" s="22">
        <f t="shared" si="7"/>
        <v>4286097.47</v>
      </c>
      <c r="E179" s="22">
        <f t="shared" si="8"/>
        <v>776508.05999999994</v>
      </c>
      <c r="F179" s="22">
        <f t="shared" si="8"/>
        <v>857419.94000000006</v>
      </c>
      <c r="G179" s="22">
        <f t="shared" si="8"/>
        <v>880969.47</v>
      </c>
      <c r="H179" s="22">
        <f t="shared" si="8"/>
        <v>885600</v>
      </c>
      <c r="I179" s="22">
        <f t="shared" si="8"/>
        <v>885600</v>
      </c>
      <c r="J179" s="85"/>
    </row>
    <row r="180" spans="1:10" ht="12.6" customHeight="1" x14ac:dyDescent="0.25">
      <c r="A180" s="76" t="s">
        <v>108</v>
      </c>
      <c r="B180" s="73" t="s">
        <v>10</v>
      </c>
      <c r="C180" s="24" t="s">
        <v>11</v>
      </c>
      <c r="D180" s="23">
        <f t="shared" si="7"/>
        <v>3800033.3</v>
      </c>
      <c r="E180" s="23">
        <f>SUM(E181:E183)</f>
        <v>679435.58</v>
      </c>
      <c r="F180" s="23">
        <f>SUM(F181:F183)</f>
        <v>755194.96</v>
      </c>
      <c r="G180" s="23">
        <f>SUM(G181:G183)</f>
        <v>785402.76</v>
      </c>
      <c r="H180" s="23">
        <f>SUM(H181:H183)</f>
        <v>790000</v>
      </c>
      <c r="I180" s="23">
        <f>SUM(I181:I183)</f>
        <v>790000</v>
      </c>
      <c r="J180" s="85"/>
    </row>
    <row r="181" spans="1:10" ht="12.6" customHeight="1" x14ac:dyDescent="0.25">
      <c r="A181" s="77"/>
      <c r="B181" s="74"/>
      <c r="C181" s="24" t="s">
        <v>13</v>
      </c>
      <c r="D181" s="23">
        <f t="shared" si="7"/>
        <v>0</v>
      </c>
      <c r="E181" s="23">
        <v>0</v>
      </c>
      <c r="F181" s="23">
        <v>0</v>
      </c>
      <c r="G181" s="23">
        <v>0</v>
      </c>
      <c r="H181" s="23">
        <v>0</v>
      </c>
      <c r="I181" s="23">
        <v>0</v>
      </c>
      <c r="J181" s="85"/>
    </row>
    <row r="182" spans="1:10" ht="12.6" customHeight="1" x14ac:dyDescent="0.25">
      <c r="A182" s="77"/>
      <c r="B182" s="74"/>
      <c r="C182" s="24" t="s">
        <v>14</v>
      </c>
      <c r="D182" s="23">
        <f t="shared" si="7"/>
        <v>0</v>
      </c>
      <c r="E182" s="23">
        <v>0</v>
      </c>
      <c r="F182" s="23">
        <v>0</v>
      </c>
      <c r="G182" s="23">
        <v>0</v>
      </c>
      <c r="H182" s="23">
        <v>0</v>
      </c>
      <c r="I182" s="23">
        <v>0</v>
      </c>
      <c r="J182" s="85"/>
    </row>
    <row r="183" spans="1:10" ht="12.6" customHeight="1" x14ac:dyDescent="0.25">
      <c r="A183" s="78"/>
      <c r="B183" s="75"/>
      <c r="C183" s="24" t="s">
        <v>15</v>
      </c>
      <c r="D183" s="23">
        <f t="shared" si="7"/>
        <v>3800033.3</v>
      </c>
      <c r="E183" s="23">
        <v>679435.58</v>
      </c>
      <c r="F183" s="23">
        <f>755195-0.04</f>
        <v>755194.96</v>
      </c>
      <c r="G183" s="23">
        <v>785402.76</v>
      </c>
      <c r="H183" s="23">
        <v>790000</v>
      </c>
      <c r="I183" s="23">
        <v>790000</v>
      </c>
      <c r="J183" s="85"/>
    </row>
    <row r="184" spans="1:10" ht="13.15" customHeight="1" x14ac:dyDescent="0.25">
      <c r="A184" s="76" t="s">
        <v>109</v>
      </c>
      <c r="B184" s="73" t="s">
        <v>10</v>
      </c>
      <c r="C184" s="24" t="s">
        <v>11</v>
      </c>
      <c r="D184" s="23">
        <f t="shared" si="7"/>
        <v>184785.23</v>
      </c>
      <c r="E184" s="23">
        <f>SUM(E185:E187)</f>
        <v>36464.11</v>
      </c>
      <c r="F184" s="23">
        <f>SUM(F185:F187)</f>
        <v>38843.780000000006</v>
      </c>
      <c r="G184" s="23">
        <f>SUM(G185:G187)</f>
        <v>36477.339999999997</v>
      </c>
      <c r="H184" s="23">
        <f>SUM(H185:H187)</f>
        <v>36500</v>
      </c>
      <c r="I184" s="23">
        <f>SUM(I185:I187)</f>
        <v>36500</v>
      </c>
      <c r="J184" s="85"/>
    </row>
    <row r="185" spans="1:10" ht="13.15" customHeight="1" x14ac:dyDescent="0.25">
      <c r="A185" s="77"/>
      <c r="B185" s="74"/>
      <c r="C185" s="24" t="s">
        <v>13</v>
      </c>
      <c r="D185" s="23">
        <f t="shared" si="7"/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85"/>
    </row>
    <row r="186" spans="1:10" ht="13.15" customHeight="1" x14ac:dyDescent="0.25">
      <c r="A186" s="77"/>
      <c r="B186" s="74"/>
      <c r="C186" s="24" t="s">
        <v>14</v>
      </c>
      <c r="D186" s="23">
        <f t="shared" si="7"/>
        <v>0</v>
      </c>
      <c r="E186" s="23">
        <v>0</v>
      </c>
      <c r="F186" s="23">
        <v>0</v>
      </c>
      <c r="G186" s="23">
        <v>0</v>
      </c>
      <c r="H186" s="23">
        <v>0</v>
      </c>
      <c r="I186" s="23">
        <v>0</v>
      </c>
      <c r="J186" s="85"/>
    </row>
    <row r="187" spans="1:10" ht="13.15" customHeight="1" x14ac:dyDescent="0.25">
      <c r="A187" s="78"/>
      <c r="B187" s="75"/>
      <c r="C187" s="24" t="s">
        <v>15</v>
      </c>
      <c r="D187" s="23">
        <f t="shared" si="7"/>
        <v>184785.23</v>
      </c>
      <c r="E187" s="23">
        <f>37422.3-958.19</f>
        <v>36464.11</v>
      </c>
      <c r="F187" s="23">
        <f>36396.3+5421.8-2974.32</f>
        <v>38843.780000000006</v>
      </c>
      <c r="G187" s="23">
        <v>36477.339999999997</v>
      </c>
      <c r="H187" s="23">
        <v>36500</v>
      </c>
      <c r="I187" s="23">
        <v>36500</v>
      </c>
      <c r="J187" s="85"/>
    </row>
    <row r="188" spans="1:10" ht="14.45" customHeight="1" x14ac:dyDescent="0.25">
      <c r="A188" s="76" t="s">
        <v>110</v>
      </c>
      <c r="B188" s="73" t="s">
        <v>10</v>
      </c>
      <c r="C188" s="24" t="s">
        <v>11</v>
      </c>
      <c r="D188" s="23">
        <f t="shared" si="7"/>
        <v>270469.41000000003</v>
      </c>
      <c r="E188" s="23">
        <f>SUM(E189:E191)</f>
        <v>54494.17</v>
      </c>
      <c r="F188" s="23">
        <f>SUM(F189:F191)</f>
        <v>56677.52</v>
      </c>
      <c r="G188" s="23">
        <f>SUM(G189:G191)</f>
        <v>53097.72</v>
      </c>
      <c r="H188" s="23">
        <f>SUM(H189:H191)</f>
        <v>53100</v>
      </c>
      <c r="I188" s="23">
        <f>SUM(I189:I191)</f>
        <v>53100</v>
      </c>
      <c r="J188" s="85"/>
    </row>
    <row r="189" spans="1:10" ht="14.45" customHeight="1" x14ac:dyDescent="0.25">
      <c r="A189" s="77"/>
      <c r="B189" s="74"/>
      <c r="C189" s="24" t="s">
        <v>13</v>
      </c>
      <c r="D189" s="23">
        <f t="shared" si="7"/>
        <v>0</v>
      </c>
      <c r="E189" s="23">
        <v>0</v>
      </c>
      <c r="F189" s="23">
        <v>0</v>
      </c>
      <c r="G189" s="23">
        <v>0</v>
      </c>
      <c r="H189" s="23">
        <v>0</v>
      </c>
      <c r="I189" s="23">
        <v>0</v>
      </c>
      <c r="J189" s="85"/>
    </row>
    <row r="190" spans="1:10" ht="14.45" customHeight="1" x14ac:dyDescent="0.25">
      <c r="A190" s="77"/>
      <c r="B190" s="74"/>
      <c r="C190" s="24" t="s">
        <v>14</v>
      </c>
      <c r="D190" s="23">
        <f t="shared" si="7"/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85"/>
    </row>
    <row r="191" spans="1:10" ht="14.45" customHeight="1" x14ac:dyDescent="0.25">
      <c r="A191" s="78"/>
      <c r="B191" s="75"/>
      <c r="C191" s="24" t="s">
        <v>15</v>
      </c>
      <c r="D191" s="23">
        <f t="shared" si="7"/>
        <v>270469.41000000003</v>
      </c>
      <c r="E191" s="23">
        <f>54349.22+144.95</f>
        <v>54494.17</v>
      </c>
      <c r="F191" s="23">
        <f>52859.14-0.04+6497.82-2679.4</f>
        <v>56677.52</v>
      </c>
      <c r="G191" s="23">
        <v>53097.72</v>
      </c>
      <c r="H191" s="23">
        <v>53100</v>
      </c>
      <c r="I191" s="23">
        <v>53100</v>
      </c>
      <c r="J191" s="85"/>
    </row>
    <row r="192" spans="1:10" ht="12.6" customHeight="1" x14ac:dyDescent="0.25">
      <c r="A192" s="76" t="s">
        <v>132</v>
      </c>
      <c r="B192" s="73" t="s">
        <v>10</v>
      </c>
      <c r="C192" s="24" t="s">
        <v>11</v>
      </c>
      <c r="D192" s="23">
        <f t="shared" si="7"/>
        <v>30809.53</v>
      </c>
      <c r="E192" s="23">
        <f>SUM(E193:E195)</f>
        <v>6114.2</v>
      </c>
      <c r="F192" s="23">
        <f>SUM(F193:F195)</f>
        <v>6703.68</v>
      </c>
      <c r="G192" s="23">
        <f>SUM(G193:G195)</f>
        <v>5991.65</v>
      </c>
      <c r="H192" s="23">
        <f>SUM(H193:H195)</f>
        <v>6000</v>
      </c>
      <c r="I192" s="23">
        <f>SUM(I193:I195)</f>
        <v>6000</v>
      </c>
      <c r="J192" s="85"/>
    </row>
    <row r="193" spans="1:10" ht="12" customHeight="1" x14ac:dyDescent="0.25">
      <c r="A193" s="77"/>
      <c r="B193" s="74"/>
      <c r="C193" s="24" t="s">
        <v>13</v>
      </c>
      <c r="D193" s="23">
        <f t="shared" si="7"/>
        <v>0</v>
      </c>
      <c r="E193" s="23">
        <v>0</v>
      </c>
      <c r="F193" s="23">
        <v>0</v>
      </c>
      <c r="G193" s="23">
        <v>0</v>
      </c>
      <c r="H193" s="23">
        <v>0</v>
      </c>
      <c r="I193" s="23">
        <v>0</v>
      </c>
      <c r="J193" s="85"/>
    </row>
    <row r="194" spans="1:10" ht="12" customHeight="1" x14ac:dyDescent="0.25">
      <c r="A194" s="77"/>
      <c r="B194" s="74"/>
      <c r="C194" s="24" t="s">
        <v>14</v>
      </c>
      <c r="D194" s="23">
        <f t="shared" si="7"/>
        <v>0</v>
      </c>
      <c r="E194" s="23">
        <v>0</v>
      </c>
      <c r="F194" s="23">
        <v>0</v>
      </c>
      <c r="G194" s="23">
        <v>0</v>
      </c>
      <c r="H194" s="23">
        <v>0</v>
      </c>
      <c r="I194" s="23">
        <v>0</v>
      </c>
      <c r="J194" s="85"/>
    </row>
    <row r="195" spans="1:10" ht="12" customHeight="1" x14ac:dyDescent="0.25">
      <c r="A195" s="78"/>
      <c r="B195" s="75"/>
      <c r="C195" s="24" t="s">
        <v>15</v>
      </c>
      <c r="D195" s="23">
        <f t="shared" si="7"/>
        <v>30809.53</v>
      </c>
      <c r="E195" s="23">
        <f>6259.15-144.95</f>
        <v>6114.2</v>
      </c>
      <c r="F195" s="23">
        <f>6087.56+0.04+815.54-199.46</f>
        <v>6703.68</v>
      </c>
      <c r="G195" s="23">
        <v>5991.65</v>
      </c>
      <c r="H195" s="23">
        <v>6000</v>
      </c>
      <c r="I195" s="23">
        <v>6000</v>
      </c>
      <c r="J195" s="85"/>
    </row>
    <row r="196" spans="1:10" ht="13.15" customHeight="1" x14ac:dyDescent="0.25">
      <c r="A196" s="66" t="s">
        <v>111</v>
      </c>
      <c r="B196" s="73" t="s">
        <v>10</v>
      </c>
      <c r="C196" s="24" t="s">
        <v>11</v>
      </c>
      <c r="D196" s="22">
        <f t="shared" si="7"/>
        <v>74421809</v>
      </c>
      <c r="E196" s="22">
        <f>SUM(E197:E199)</f>
        <v>18000089.379999999</v>
      </c>
      <c r="F196" s="22">
        <f>SUM(F197:F199)</f>
        <v>19133634.41</v>
      </c>
      <c r="G196" s="22">
        <f>SUM(G197:G199)</f>
        <v>16677193.940000001</v>
      </c>
      <c r="H196" s="22">
        <f>SUM(H197:H199)</f>
        <v>13649891.27</v>
      </c>
      <c r="I196" s="22">
        <f>SUM(I197:I199)</f>
        <v>6961000</v>
      </c>
      <c r="J196" s="84" t="s">
        <v>27</v>
      </c>
    </row>
    <row r="197" spans="1:10" ht="12.6" customHeight="1" x14ac:dyDescent="0.25">
      <c r="A197" s="67"/>
      <c r="B197" s="74"/>
      <c r="C197" s="24" t="s">
        <v>13</v>
      </c>
      <c r="D197" s="22">
        <f t="shared" si="7"/>
        <v>0</v>
      </c>
      <c r="E197" s="22">
        <f t="shared" ref="E197:G199" si="9">E201+E205+E209+E213+E217+E221</f>
        <v>0</v>
      </c>
      <c r="F197" s="22">
        <f t="shared" si="9"/>
        <v>0</v>
      </c>
      <c r="G197" s="22">
        <f t="shared" si="9"/>
        <v>0</v>
      </c>
      <c r="H197" s="22">
        <f t="shared" ref="H197:I197" si="10">H201+H205+H209+H213+H217+H221</f>
        <v>0</v>
      </c>
      <c r="I197" s="22">
        <f t="shared" si="10"/>
        <v>0</v>
      </c>
      <c r="J197" s="85"/>
    </row>
    <row r="198" spans="1:10" ht="12" customHeight="1" x14ac:dyDescent="0.25">
      <c r="A198" s="67"/>
      <c r="B198" s="74"/>
      <c r="C198" s="24" t="s">
        <v>14</v>
      </c>
      <c r="D198" s="22">
        <f t="shared" si="7"/>
        <v>0</v>
      </c>
      <c r="E198" s="22">
        <f t="shared" si="9"/>
        <v>0</v>
      </c>
      <c r="F198" s="22">
        <f t="shared" si="9"/>
        <v>0</v>
      </c>
      <c r="G198" s="22">
        <f t="shared" si="9"/>
        <v>0</v>
      </c>
      <c r="H198" s="22">
        <f t="shared" ref="H198:I198" si="11">H202+H206+H210+H214+H218+H222</f>
        <v>0</v>
      </c>
      <c r="I198" s="22">
        <f t="shared" si="11"/>
        <v>0</v>
      </c>
      <c r="J198" s="85"/>
    </row>
    <row r="199" spans="1:10" ht="12.6" customHeight="1" x14ac:dyDescent="0.25">
      <c r="A199" s="68"/>
      <c r="B199" s="75"/>
      <c r="C199" s="24" t="s">
        <v>15</v>
      </c>
      <c r="D199" s="22">
        <f t="shared" si="7"/>
        <v>74421809</v>
      </c>
      <c r="E199" s="22">
        <f t="shared" si="9"/>
        <v>18000089.379999999</v>
      </c>
      <c r="F199" s="22">
        <f>F203+F207+F211+F215+F219+F223</f>
        <v>19133634.41</v>
      </c>
      <c r="G199" s="22">
        <f>G203+G207+G211+G215+G219+G223</f>
        <v>16677193.940000001</v>
      </c>
      <c r="H199" s="22">
        <f>H203+H207+H211+H215+H219+H223</f>
        <v>13649891.27</v>
      </c>
      <c r="I199" s="22">
        <f>I203+I207+I211+I215+I219+I223</f>
        <v>6961000</v>
      </c>
      <c r="J199" s="85"/>
    </row>
    <row r="200" spans="1:10" ht="12.6" customHeight="1" x14ac:dyDescent="0.25">
      <c r="A200" s="76" t="s">
        <v>26</v>
      </c>
      <c r="B200" s="73" t="s">
        <v>10</v>
      </c>
      <c r="C200" s="24" t="s">
        <v>11</v>
      </c>
      <c r="D200" s="23">
        <f t="shared" si="7"/>
        <v>3688498.72</v>
      </c>
      <c r="E200" s="23">
        <v>687932.08</v>
      </c>
      <c r="F200" s="23">
        <f>SUM(F201:F203)</f>
        <v>725767.96</v>
      </c>
      <c r="G200" s="23">
        <f>SUM(G201:G203)</f>
        <v>754798.68</v>
      </c>
      <c r="H200" s="23">
        <f>SUM(H201:H203)</f>
        <v>760000</v>
      </c>
      <c r="I200" s="23">
        <f>SUM(I201:I203)</f>
        <v>760000</v>
      </c>
      <c r="J200" s="85"/>
    </row>
    <row r="201" spans="1:10" ht="12" customHeight="1" x14ac:dyDescent="0.25">
      <c r="A201" s="77"/>
      <c r="B201" s="74"/>
      <c r="C201" s="24" t="s">
        <v>13</v>
      </c>
      <c r="D201" s="23">
        <f t="shared" si="7"/>
        <v>0</v>
      </c>
      <c r="E201" s="23">
        <v>0</v>
      </c>
      <c r="F201" s="23">
        <v>0</v>
      </c>
      <c r="G201" s="23">
        <v>0</v>
      </c>
      <c r="H201" s="23">
        <v>0</v>
      </c>
      <c r="I201" s="23">
        <v>0</v>
      </c>
      <c r="J201" s="85"/>
    </row>
    <row r="202" spans="1:10" ht="11.45" customHeight="1" x14ac:dyDescent="0.25">
      <c r="A202" s="77"/>
      <c r="B202" s="74"/>
      <c r="C202" s="24" t="s">
        <v>14</v>
      </c>
      <c r="D202" s="23">
        <f t="shared" si="7"/>
        <v>0</v>
      </c>
      <c r="E202" s="23">
        <v>0</v>
      </c>
      <c r="F202" s="23">
        <v>0</v>
      </c>
      <c r="G202" s="23">
        <v>0</v>
      </c>
      <c r="H202" s="23">
        <v>0</v>
      </c>
      <c r="I202" s="23">
        <v>0</v>
      </c>
      <c r="J202" s="85"/>
    </row>
    <row r="203" spans="1:10" ht="12.6" customHeight="1" x14ac:dyDescent="0.25">
      <c r="A203" s="78"/>
      <c r="B203" s="75"/>
      <c r="C203" s="24" t="s">
        <v>15</v>
      </c>
      <c r="D203" s="23">
        <f t="shared" si="7"/>
        <v>3688498.72</v>
      </c>
      <c r="E203" s="23">
        <v>687932.08</v>
      </c>
      <c r="F203" s="23">
        <f>725768-0.04</f>
        <v>725767.96</v>
      </c>
      <c r="G203" s="23">
        <v>754798.68</v>
      </c>
      <c r="H203" s="23">
        <v>760000</v>
      </c>
      <c r="I203" s="23">
        <v>760000</v>
      </c>
      <c r="J203" s="85"/>
    </row>
    <row r="204" spans="1:10" ht="13.15" customHeight="1" x14ac:dyDescent="0.25">
      <c r="A204" s="76" t="s">
        <v>112</v>
      </c>
      <c r="B204" s="73" t="s">
        <v>10</v>
      </c>
      <c r="C204" s="24" t="s">
        <v>11</v>
      </c>
      <c r="D204" s="23">
        <f t="shared" si="7"/>
        <v>15861176.050000001</v>
      </c>
      <c r="E204" s="23">
        <f>SUM(E205:E207)</f>
        <v>3697133.25</v>
      </c>
      <c r="F204" s="23">
        <f>SUM(F205:F207)</f>
        <v>3322824.92</v>
      </c>
      <c r="G204" s="23">
        <f>SUM(G205:G207)</f>
        <v>2941217.88</v>
      </c>
      <c r="H204" s="23">
        <f>SUM(H205:H207)</f>
        <v>2950000</v>
      </c>
      <c r="I204" s="23">
        <f>SUM(I205:I207)</f>
        <v>2950000</v>
      </c>
      <c r="J204" s="85"/>
    </row>
    <row r="205" spans="1:10" ht="12.6" customHeight="1" x14ac:dyDescent="0.25">
      <c r="A205" s="77"/>
      <c r="B205" s="74"/>
      <c r="C205" s="24" t="s">
        <v>13</v>
      </c>
      <c r="D205" s="23">
        <f t="shared" si="7"/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85"/>
    </row>
    <row r="206" spans="1:10" ht="12.6" customHeight="1" x14ac:dyDescent="0.25">
      <c r="A206" s="77"/>
      <c r="B206" s="74"/>
      <c r="C206" s="24" t="s">
        <v>14</v>
      </c>
      <c r="D206" s="23">
        <f t="shared" si="7"/>
        <v>0</v>
      </c>
      <c r="E206" s="23">
        <v>0</v>
      </c>
      <c r="F206" s="23">
        <v>0</v>
      </c>
      <c r="G206" s="23">
        <v>0</v>
      </c>
      <c r="H206" s="23">
        <v>0</v>
      </c>
      <c r="I206" s="23">
        <v>0</v>
      </c>
      <c r="J206" s="85"/>
    </row>
    <row r="207" spans="1:10" ht="12.6" customHeight="1" x14ac:dyDescent="0.25">
      <c r="A207" s="78"/>
      <c r="B207" s="75"/>
      <c r="C207" s="24" t="s">
        <v>15</v>
      </c>
      <c r="D207" s="23">
        <f t="shared" ref="D207:D238" si="12">SUM(E207:I207)</f>
        <v>15861176.050000001</v>
      </c>
      <c r="E207" s="23">
        <f>3009896.7+301220.31+386016.24</f>
        <v>3697133.25</v>
      </c>
      <c r="F207" s="23">
        <f>2670244.65+52415.07+458005.51+213047.35-102.26-1.67-17663.92-53119.81</f>
        <v>3322824.92</v>
      </c>
      <c r="G207" s="23">
        <f>2941217.88</f>
        <v>2941217.88</v>
      </c>
      <c r="H207" s="23">
        <v>2950000</v>
      </c>
      <c r="I207" s="23">
        <v>2950000</v>
      </c>
      <c r="J207" s="85"/>
    </row>
    <row r="208" spans="1:10" ht="12" customHeight="1" x14ac:dyDescent="0.25">
      <c r="A208" s="76" t="s">
        <v>113</v>
      </c>
      <c r="B208" s="73" t="s">
        <v>10</v>
      </c>
      <c r="C208" s="24" t="s">
        <v>11</v>
      </c>
      <c r="D208" s="23">
        <f t="shared" si="12"/>
        <v>14149794.330000002</v>
      </c>
      <c r="E208" s="23">
        <f>SUM(E209:E211)</f>
        <v>2846454.1700000004</v>
      </c>
      <c r="F208" s="23">
        <f>SUM(F209:F211)</f>
        <v>3148097.2500000005</v>
      </c>
      <c r="G208" s="23">
        <f>SUM(G209:G211)</f>
        <v>2715242.91</v>
      </c>
      <c r="H208" s="23">
        <f>SUM(H209:H211)</f>
        <v>2720000</v>
      </c>
      <c r="I208" s="23">
        <f>SUM(I209:I211)</f>
        <v>2720000</v>
      </c>
      <c r="J208" s="85"/>
    </row>
    <row r="209" spans="1:10" ht="12" customHeight="1" x14ac:dyDescent="0.25">
      <c r="A209" s="77"/>
      <c r="B209" s="74"/>
      <c r="C209" s="24" t="s">
        <v>13</v>
      </c>
      <c r="D209" s="23">
        <f t="shared" si="12"/>
        <v>0</v>
      </c>
      <c r="E209" s="23">
        <v>0</v>
      </c>
      <c r="F209" s="23">
        <v>0</v>
      </c>
      <c r="G209" s="23">
        <v>0</v>
      </c>
      <c r="H209" s="23">
        <v>0</v>
      </c>
      <c r="I209" s="23">
        <v>0</v>
      </c>
      <c r="J209" s="85"/>
    </row>
    <row r="210" spans="1:10" ht="12" customHeight="1" x14ac:dyDescent="0.25">
      <c r="A210" s="77"/>
      <c r="B210" s="74"/>
      <c r="C210" s="24" t="s">
        <v>14</v>
      </c>
      <c r="D210" s="23">
        <f t="shared" si="12"/>
        <v>0</v>
      </c>
      <c r="E210" s="23">
        <v>0</v>
      </c>
      <c r="F210" s="23">
        <v>0</v>
      </c>
      <c r="G210" s="23">
        <v>0</v>
      </c>
      <c r="H210" s="23">
        <v>0</v>
      </c>
      <c r="I210" s="23">
        <v>0</v>
      </c>
      <c r="J210" s="85"/>
    </row>
    <row r="211" spans="1:10" ht="12" customHeight="1" x14ac:dyDescent="0.25">
      <c r="A211" s="78"/>
      <c r="B211" s="75"/>
      <c r="C211" s="24" t="s">
        <v>15</v>
      </c>
      <c r="D211" s="23">
        <f t="shared" si="12"/>
        <v>14149794.330000002</v>
      </c>
      <c r="E211" s="23">
        <f>2601295.89+146240.06+98918.22</f>
        <v>2846454.1700000004</v>
      </c>
      <c r="F211" s="23">
        <f>2171593.67+810241.93+12750.2+138386.79+17663.92-2539.26</f>
        <v>3148097.2500000005</v>
      </c>
      <c r="G211" s="23">
        <f>2715242.91</f>
        <v>2715242.91</v>
      </c>
      <c r="H211" s="23">
        <v>2720000</v>
      </c>
      <c r="I211" s="23">
        <v>2720000</v>
      </c>
      <c r="J211" s="85"/>
    </row>
    <row r="212" spans="1:10" ht="13.9" customHeight="1" x14ac:dyDescent="0.25">
      <c r="A212" s="76" t="s">
        <v>114</v>
      </c>
      <c r="B212" s="73" t="s">
        <v>10</v>
      </c>
      <c r="C212" s="24" t="s">
        <v>11</v>
      </c>
      <c r="D212" s="23">
        <f t="shared" si="12"/>
        <v>161480.09</v>
      </c>
      <c r="E212" s="23">
        <f>SUM(E213:E215)</f>
        <v>33954.199999999997</v>
      </c>
      <c r="F212" s="23">
        <f>SUM(F213:F215)</f>
        <v>34945.100000000006</v>
      </c>
      <c r="G212" s="23">
        <f>SUM(G213:G215)</f>
        <v>30580.79</v>
      </c>
      <c r="H212" s="23">
        <f>SUM(H213:H215)</f>
        <v>31000</v>
      </c>
      <c r="I212" s="23">
        <f>SUM(I213:I215)</f>
        <v>31000</v>
      </c>
      <c r="J212" s="85"/>
    </row>
    <row r="213" spans="1:10" ht="13.9" customHeight="1" x14ac:dyDescent="0.25">
      <c r="A213" s="77"/>
      <c r="B213" s="74"/>
      <c r="C213" s="24" t="s">
        <v>13</v>
      </c>
      <c r="D213" s="23">
        <f t="shared" si="12"/>
        <v>0</v>
      </c>
      <c r="E213" s="23">
        <v>0</v>
      </c>
      <c r="F213" s="23">
        <v>0</v>
      </c>
      <c r="G213" s="23">
        <v>0</v>
      </c>
      <c r="H213" s="23">
        <v>0</v>
      </c>
      <c r="I213" s="23">
        <v>0</v>
      </c>
      <c r="J213" s="85"/>
    </row>
    <row r="214" spans="1:10" ht="13.9" customHeight="1" x14ac:dyDescent="0.25">
      <c r="A214" s="77"/>
      <c r="B214" s="74"/>
      <c r="C214" s="24" t="s">
        <v>14</v>
      </c>
      <c r="D214" s="23">
        <f t="shared" si="12"/>
        <v>0</v>
      </c>
      <c r="E214" s="23">
        <v>0</v>
      </c>
      <c r="F214" s="23">
        <v>0</v>
      </c>
      <c r="G214" s="23">
        <v>0</v>
      </c>
      <c r="H214" s="23">
        <v>0</v>
      </c>
      <c r="I214" s="23">
        <v>0</v>
      </c>
      <c r="J214" s="85"/>
    </row>
    <row r="215" spans="1:10" ht="13.5" customHeight="1" x14ac:dyDescent="0.25">
      <c r="A215" s="78"/>
      <c r="B215" s="75"/>
      <c r="C215" s="24" t="s">
        <v>15</v>
      </c>
      <c r="D215" s="23">
        <f t="shared" si="12"/>
        <v>161480.09</v>
      </c>
      <c r="E215" s="23">
        <f>33576.2+378</f>
        <v>33954.199999999997</v>
      </c>
      <c r="F215" s="23">
        <f>32655.65+2849.9-11.09-549.36</f>
        <v>34945.100000000006</v>
      </c>
      <c r="G215" s="23">
        <v>30580.79</v>
      </c>
      <c r="H215" s="23">
        <v>31000</v>
      </c>
      <c r="I215" s="23">
        <v>31000</v>
      </c>
      <c r="J215" s="86"/>
    </row>
    <row r="216" spans="1:10" ht="12" customHeight="1" x14ac:dyDescent="0.25">
      <c r="A216" s="76" t="s">
        <v>115</v>
      </c>
      <c r="B216" s="73" t="s">
        <v>10</v>
      </c>
      <c r="C216" s="24" t="s">
        <v>11</v>
      </c>
      <c r="D216" s="23">
        <f t="shared" si="12"/>
        <v>38151133.450000003</v>
      </c>
      <c r="E216" s="23">
        <f>SUM(E217:E219)</f>
        <v>10299259.439999999</v>
      </c>
      <c r="F216" s="23">
        <f>SUM(F217:F219)</f>
        <v>11424367.060000001</v>
      </c>
      <c r="G216" s="23">
        <f>SUM(G217:G219)</f>
        <v>9738615.6799999997</v>
      </c>
      <c r="H216" s="23">
        <f>SUM(H217:H219)</f>
        <v>6688891.2699999996</v>
      </c>
      <c r="I216" s="23"/>
      <c r="J216" s="84" t="s">
        <v>28</v>
      </c>
    </row>
    <row r="217" spans="1:10" ht="33.75" customHeight="1" x14ac:dyDescent="0.25">
      <c r="A217" s="77"/>
      <c r="B217" s="74"/>
      <c r="C217" s="24" t="s">
        <v>13</v>
      </c>
      <c r="D217" s="23">
        <f t="shared" si="12"/>
        <v>0</v>
      </c>
      <c r="E217" s="23">
        <v>0</v>
      </c>
      <c r="F217" s="23">
        <v>0</v>
      </c>
      <c r="G217" s="23">
        <v>0</v>
      </c>
      <c r="H217" s="23">
        <v>0</v>
      </c>
      <c r="I217" s="23"/>
      <c r="J217" s="85"/>
    </row>
    <row r="218" spans="1:10" ht="21.75" customHeight="1" x14ac:dyDescent="0.25">
      <c r="A218" s="77"/>
      <c r="B218" s="74"/>
      <c r="C218" s="24" t="s">
        <v>14</v>
      </c>
      <c r="D218" s="23">
        <f t="shared" si="12"/>
        <v>0</v>
      </c>
      <c r="E218" s="23">
        <v>0</v>
      </c>
      <c r="F218" s="23">
        <v>0</v>
      </c>
      <c r="G218" s="23">
        <v>0</v>
      </c>
      <c r="H218" s="23">
        <v>0</v>
      </c>
      <c r="I218" s="23"/>
      <c r="J218" s="85"/>
    </row>
    <row r="219" spans="1:10" ht="39" customHeight="1" x14ac:dyDescent="0.25">
      <c r="A219" s="78"/>
      <c r="B219" s="75"/>
      <c r="C219" s="24" t="s">
        <v>15</v>
      </c>
      <c r="D219" s="23">
        <f t="shared" si="12"/>
        <v>38151133.450000003</v>
      </c>
      <c r="E219" s="23">
        <f>10784193.9-484934.46</f>
        <v>10299259.439999999</v>
      </c>
      <c r="F219" s="23">
        <f>9738616.68+1251275.99+434474.39</f>
        <v>11424367.060000001</v>
      </c>
      <c r="G219" s="23">
        <f>9738616.68-1</f>
        <v>9738615.6799999997</v>
      </c>
      <c r="H219" s="23">
        <f>6492400+196491.27</f>
        <v>6688891.2699999996</v>
      </c>
      <c r="I219" s="23"/>
      <c r="J219" s="86"/>
    </row>
    <row r="220" spans="1:10" ht="12" customHeight="1" x14ac:dyDescent="0.25">
      <c r="A220" s="114" t="s">
        <v>116</v>
      </c>
      <c r="B220" s="73" t="s">
        <v>10</v>
      </c>
      <c r="C220" s="24" t="s">
        <v>11</v>
      </c>
      <c r="D220" s="23">
        <f t="shared" si="12"/>
        <v>2409726.36</v>
      </c>
      <c r="E220" s="23">
        <v>435356.24</v>
      </c>
      <c r="F220" s="23">
        <f>SUM(F221:F223)</f>
        <v>477632.12</v>
      </c>
      <c r="G220" s="23">
        <f>SUM(G221:G223)</f>
        <v>496738</v>
      </c>
      <c r="H220" s="23">
        <f>SUM(H221:H223)</f>
        <v>500000</v>
      </c>
      <c r="I220" s="23">
        <f>SUM(I221:I223)</f>
        <v>500000</v>
      </c>
      <c r="J220" s="84" t="s">
        <v>29</v>
      </c>
    </row>
    <row r="221" spans="1:10" ht="12" customHeight="1" x14ac:dyDescent="0.25">
      <c r="A221" s="115"/>
      <c r="B221" s="74"/>
      <c r="C221" s="24" t="s">
        <v>13</v>
      </c>
      <c r="D221" s="23">
        <f t="shared" si="12"/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85"/>
    </row>
    <row r="222" spans="1:10" ht="12.6" customHeight="1" x14ac:dyDescent="0.25">
      <c r="A222" s="115"/>
      <c r="B222" s="74"/>
      <c r="C222" s="24" t="s">
        <v>14</v>
      </c>
      <c r="D222" s="23">
        <f t="shared" si="12"/>
        <v>0</v>
      </c>
      <c r="E222" s="23">
        <v>0</v>
      </c>
      <c r="F222" s="23">
        <v>0</v>
      </c>
      <c r="G222" s="23">
        <v>0</v>
      </c>
      <c r="H222" s="23">
        <v>0</v>
      </c>
      <c r="I222" s="23">
        <v>0</v>
      </c>
      <c r="J222" s="85"/>
    </row>
    <row r="223" spans="1:10" ht="12" customHeight="1" x14ac:dyDescent="0.25">
      <c r="A223" s="116"/>
      <c r="B223" s="75"/>
      <c r="C223" s="24" t="s">
        <v>15</v>
      </c>
      <c r="D223" s="23">
        <f t="shared" si="12"/>
        <v>2409726.36</v>
      </c>
      <c r="E223" s="23">
        <v>435356.24</v>
      </c>
      <c r="F223" s="23">
        <v>477632.12</v>
      </c>
      <c r="G223" s="23">
        <v>496738</v>
      </c>
      <c r="H223" s="23">
        <v>500000</v>
      </c>
      <c r="I223" s="23">
        <v>500000</v>
      </c>
      <c r="J223" s="86"/>
    </row>
    <row r="224" spans="1:10" ht="11.45" hidden="1" customHeight="1" x14ac:dyDescent="0.25">
      <c r="A224" s="66" t="s">
        <v>117</v>
      </c>
      <c r="B224" s="73" t="s">
        <v>10</v>
      </c>
      <c r="C224" s="24" t="s">
        <v>11</v>
      </c>
      <c r="D224" s="22">
        <f t="shared" si="12"/>
        <v>0</v>
      </c>
      <c r="E224" s="22"/>
      <c r="F224" s="22"/>
      <c r="G224" s="22"/>
      <c r="H224" s="22"/>
      <c r="I224" s="22"/>
      <c r="J224" s="84" t="s">
        <v>30</v>
      </c>
    </row>
    <row r="225" spans="1:10" ht="12.6" hidden="1" customHeight="1" x14ac:dyDescent="0.25">
      <c r="A225" s="67"/>
      <c r="B225" s="74"/>
      <c r="C225" s="24" t="s">
        <v>13</v>
      </c>
      <c r="D225" s="22">
        <f t="shared" si="12"/>
        <v>0</v>
      </c>
      <c r="E225" s="22"/>
      <c r="F225" s="22"/>
      <c r="G225" s="22"/>
      <c r="H225" s="22"/>
      <c r="I225" s="22"/>
      <c r="J225" s="85"/>
    </row>
    <row r="226" spans="1:10" ht="12.6" hidden="1" customHeight="1" x14ac:dyDescent="0.25">
      <c r="A226" s="67"/>
      <c r="B226" s="74"/>
      <c r="C226" s="24" t="s">
        <v>14</v>
      </c>
      <c r="D226" s="22">
        <f t="shared" si="12"/>
        <v>0</v>
      </c>
      <c r="E226" s="22"/>
      <c r="F226" s="22"/>
      <c r="G226" s="22"/>
      <c r="H226" s="22"/>
      <c r="I226" s="22"/>
      <c r="J226" s="85"/>
    </row>
    <row r="227" spans="1:10" ht="12" hidden="1" customHeight="1" x14ac:dyDescent="0.25">
      <c r="A227" s="68"/>
      <c r="B227" s="75"/>
      <c r="C227" s="24" t="s">
        <v>15</v>
      </c>
      <c r="D227" s="22">
        <f t="shared" si="12"/>
        <v>0</v>
      </c>
      <c r="E227" s="22"/>
      <c r="F227" s="22"/>
      <c r="G227" s="22"/>
      <c r="H227" s="22"/>
      <c r="I227" s="22"/>
      <c r="J227" s="86"/>
    </row>
    <row r="228" spans="1:10" ht="12" hidden="1" customHeight="1" x14ac:dyDescent="0.25">
      <c r="A228" s="66" t="s">
        <v>118</v>
      </c>
      <c r="B228" s="73" t="s">
        <v>10</v>
      </c>
      <c r="C228" s="24" t="s">
        <v>11</v>
      </c>
      <c r="D228" s="22">
        <f t="shared" si="12"/>
        <v>0</v>
      </c>
      <c r="E228" s="22"/>
      <c r="F228" s="22"/>
      <c r="G228" s="22"/>
      <c r="H228" s="22"/>
      <c r="I228" s="22"/>
      <c r="J228" s="84" t="s">
        <v>31</v>
      </c>
    </row>
    <row r="229" spans="1:10" ht="11.45" hidden="1" customHeight="1" x14ac:dyDescent="0.25">
      <c r="A229" s="67"/>
      <c r="B229" s="74"/>
      <c r="C229" s="24" t="s">
        <v>13</v>
      </c>
      <c r="D229" s="22">
        <f t="shared" si="12"/>
        <v>0</v>
      </c>
      <c r="E229" s="22"/>
      <c r="F229" s="22"/>
      <c r="G229" s="22"/>
      <c r="H229" s="22"/>
      <c r="I229" s="22"/>
      <c r="J229" s="85"/>
    </row>
    <row r="230" spans="1:10" ht="12" hidden="1" customHeight="1" x14ac:dyDescent="0.25">
      <c r="A230" s="67"/>
      <c r="B230" s="74"/>
      <c r="C230" s="24" t="s">
        <v>14</v>
      </c>
      <c r="D230" s="22">
        <f t="shared" si="12"/>
        <v>0</v>
      </c>
      <c r="E230" s="22"/>
      <c r="F230" s="22"/>
      <c r="G230" s="22"/>
      <c r="H230" s="22"/>
      <c r="I230" s="22"/>
      <c r="J230" s="85"/>
    </row>
    <row r="231" spans="1:10" ht="11.45" hidden="1" customHeight="1" x14ac:dyDescent="0.25">
      <c r="A231" s="68"/>
      <c r="B231" s="75"/>
      <c r="C231" s="24" t="s">
        <v>15</v>
      </c>
      <c r="D231" s="22">
        <f t="shared" si="12"/>
        <v>0</v>
      </c>
      <c r="E231" s="22"/>
      <c r="F231" s="22"/>
      <c r="G231" s="22"/>
      <c r="H231" s="22"/>
      <c r="I231" s="22"/>
      <c r="J231" s="86"/>
    </row>
    <row r="232" spans="1:10" ht="12" hidden="1" customHeight="1" x14ac:dyDescent="0.25">
      <c r="A232" s="66" t="s">
        <v>119</v>
      </c>
      <c r="B232" s="73" t="s">
        <v>10</v>
      </c>
      <c r="C232" s="24" t="s">
        <v>11</v>
      </c>
      <c r="D232" s="22">
        <f t="shared" si="12"/>
        <v>0</v>
      </c>
      <c r="E232" s="22"/>
      <c r="F232" s="22"/>
      <c r="G232" s="22"/>
      <c r="H232" s="22"/>
      <c r="I232" s="22"/>
      <c r="J232" s="84" t="s">
        <v>31</v>
      </c>
    </row>
    <row r="233" spans="1:10" ht="12.6" hidden="1" customHeight="1" x14ac:dyDescent="0.25">
      <c r="A233" s="67"/>
      <c r="B233" s="74"/>
      <c r="C233" s="24" t="s">
        <v>13</v>
      </c>
      <c r="D233" s="22">
        <f t="shared" si="12"/>
        <v>0</v>
      </c>
      <c r="E233" s="22"/>
      <c r="F233" s="22"/>
      <c r="G233" s="22"/>
      <c r="H233" s="22"/>
      <c r="I233" s="22"/>
      <c r="J233" s="85"/>
    </row>
    <row r="234" spans="1:10" ht="12" hidden="1" customHeight="1" x14ac:dyDescent="0.25">
      <c r="A234" s="67"/>
      <c r="B234" s="74"/>
      <c r="C234" s="24" t="s">
        <v>14</v>
      </c>
      <c r="D234" s="22">
        <f t="shared" si="12"/>
        <v>0</v>
      </c>
      <c r="E234" s="22"/>
      <c r="F234" s="22"/>
      <c r="G234" s="22"/>
      <c r="H234" s="22"/>
      <c r="I234" s="22"/>
      <c r="J234" s="85"/>
    </row>
    <row r="235" spans="1:10" ht="12" hidden="1" customHeight="1" x14ac:dyDescent="0.25">
      <c r="A235" s="68"/>
      <c r="B235" s="75"/>
      <c r="C235" s="24" t="s">
        <v>15</v>
      </c>
      <c r="D235" s="22">
        <f t="shared" si="12"/>
        <v>0</v>
      </c>
      <c r="E235" s="22"/>
      <c r="F235" s="22"/>
      <c r="G235" s="22"/>
      <c r="H235" s="22"/>
      <c r="I235" s="22"/>
      <c r="J235" s="86"/>
    </row>
    <row r="236" spans="1:10" ht="12.6" hidden="1" customHeight="1" x14ac:dyDescent="0.25">
      <c r="A236" s="66" t="s">
        <v>120</v>
      </c>
      <c r="B236" s="73" t="s">
        <v>10</v>
      </c>
      <c r="C236" s="24" t="s">
        <v>11</v>
      </c>
      <c r="D236" s="22">
        <f t="shared" si="12"/>
        <v>0</v>
      </c>
      <c r="E236" s="22"/>
      <c r="F236" s="22"/>
      <c r="G236" s="22"/>
      <c r="H236" s="22"/>
      <c r="I236" s="22"/>
      <c r="J236" s="84" t="s">
        <v>32</v>
      </c>
    </row>
    <row r="237" spans="1:10" ht="12.6" hidden="1" customHeight="1" x14ac:dyDescent="0.25">
      <c r="A237" s="67"/>
      <c r="B237" s="74"/>
      <c r="C237" s="24" t="s">
        <v>13</v>
      </c>
      <c r="D237" s="22">
        <f t="shared" si="12"/>
        <v>0</v>
      </c>
      <c r="E237" s="22"/>
      <c r="F237" s="22"/>
      <c r="G237" s="22"/>
      <c r="H237" s="22"/>
      <c r="I237" s="22"/>
      <c r="J237" s="85"/>
    </row>
    <row r="238" spans="1:10" ht="12" hidden="1" customHeight="1" x14ac:dyDescent="0.25">
      <c r="A238" s="67"/>
      <c r="B238" s="74"/>
      <c r="C238" s="24" t="s">
        <v>14</v>
      </c>
      <c r="D238" s="22">
        <f t="shared" si="12"/>
        <v>0</v>
      </c>
      <c r="E238" s="22"/>
      <c r="F238" s="22"/>
      <c r="G238" s="22"/>
      <c r="H238" s="22"/>
      <c r="I238" s="22"/>
      <c r="J238" s="85"/>
    </row>
    <row r="239" spans="1:10" ht="12.6" hidden="1" customHeight="1" x14ac:dyDescent="0.25">
      <c r="A239" s="68"/>
      <c r="B239" s="75"/>
      <c r="C239" s="24" t="s">
        <v>15</v>
      </c>
      <c r="D239" s="22">
        <f t="shared" ref="D239:D270" si="13">SUM(E239:I239)</f>
        <v>0</v>
      </c>
      <c r="E239" s="22"/>
      <c r="F239" s="22"/>
      <c r="G239" s="22"/>
      <c r="H239" s="22"/>
      <c r="I239" s="22"/>
      <c r="J239" s="86"/>
    </row>
    <row r="240" spans="1:10" ht="13.15" customHeight="1" x14ac:dyDescent="0.25">
      <c r="A240" s="102" t="s">
        <v>146</v>
      </c>
      <c r="B240" s="87" t="s">
        <v>10</v>
      </c>
      <c r="C240" s="24" t="s">
        <v>11</v>
      </c>
      <c r="D240" s="22">
        <f t="shared" si="13"/>
        <v>5447208.6999999993</v>
      </c>
      <c r="E240" s="22">
        <f>SUM(E242:E243)</f>
        <v>4801492.3899999997</v>
      </c>
      <c r="F240" s="22">
        <f>SUM(F241:F243)</f>
        <v>645716.31000000006</v>
      </c>
      <c r="G240" s="22"/>
      <c r="H240" s="22"/>
      <c r="I240" s="22"/>
      <c r="J240" s="84" t="s">
        <v>33</v>
      </c>
    </row>
    <row r="241" spans="1:10" ht="13.15" customHeight="1" x14ac:dyDescent="0.25">
      <c r="A241" s="102"/>
      <c r="B241" s="87"/>
      <c r="C241" s="24" t="s">
        <v>13</v>
      </c>
      <c r="D241" s="22">
        <f t="shared" si="13"/>
        <v>0</v>
      </c>
      <c r="E241" s="22">
        <f>E245+E249+E253+E257+E261+E265</f>
        <v>0</v>
      </c>
      <c r="F241" s="22">
        <f>F269</f>
        <v>0</v>
      </c>
      <c r="G241" s="22"/>
      <c r="H241" s="22"/>
      <c r="I241" s="22"/>
      <c r="J241" s="85"/>
    </row>
    <row r="242" spans="1:10" ht="12.6" customHeight="1" x14ac:dyDescent="0.25">
      <c r="A242" s="102"/>
      <c r="B242" s="87"/>
      <c r="C242" s="24" t="s">
        <v>14</v>
      </c>
      <c r="D242" s="22">
        <f t="shared" si="13"/>
        <v>4303294.87</v>
      </c>
      <c r="E242" s="22">
        <f>E246+E250+E254+E258+E262+E266</f>
        <v>3793178.9299999997</v>
      </c>
      <c r="F242" s="22">
        <f>F270</f>
        <v>510115.94</v>
      </c>
      <c r="G242" s="22"/>
      <c r="H242" s="22"/>
      <c r="I242" s="22"/>
      <c r="J242" s="85"/>
    </row>
    <row r="243" spans="1:10" ht="13.15" customHeight="1" x14ac:dyDescent="0.25">
      <c r="A243" s="102"/>
      <c r="B243" s="87"/>
      <c r="C243" s="24" t="s">
        <v>15</v>
      </c>
      <c r="D243" s="22">
        <f t="shared" si="13"/>
        <v>1143913.83</v>
      </c>
      <c r="E243" s="22">
        <f>E247+E251+E255+E259+E263+E267</f>
        <v>1008313.46</v>
      </c>
      <c r="F243" s="22">
        <f>F271</f>
        <v>135600.37</v>
      </c>
      <c r="G243" s="22"/>
      <c r="H243" s="22"/>
      <c r="I243" s="22"/>
      <c r="J243" s="85"/>
    </row>
    <row r="244" spans="1:10" ht="22.5" x14ac:dyDescent="0.25">
      <c r="A244" s="101" t="s">
        <v>202</v>
      </c>
      <c r="B244" s="87" t="s">
        <v>10</v>
      </c>
      <c r="C244" s="24" t="s">
        <v>11</v>
      </c>
      <c r="D244" s="23">
        <f t="shared" si="13"/>
        <v>964906.91999999993</v>
      </c>
      <c r="E244" s="23">
        <f>SUM(E246:E247)</f>
        <v>964906.91999999993</v>
      </c>
      <c r="F244" s="23"/>
      <c r="G244" s="23"/>
      <c r="H244" s="23"/>
      <c r="I244" s="23"/>
      <c r="J244" s="85"/>
    </row>
    <row r="245" spans="1:10" ht="12.6" customHeight="1" x14ac:dyDescent="0.25">
      <c r="A245" s="101"/>
      <c r="B245" s="87"/>
      <c r="C245" s="24" t="s">
        <v>13</v>
      </c>
      <c r="D245" s="23">
        <f t="shared" si="13"/>
        <v>0</v>
      </c>
      <c r="E245" s="23">
        <v>0</v>
      </c>
      <c r="F245" s="23"/>
      <c r="G245" s="23"/>
      <c r="H245" s="23"/>
      <c r="I245" s="23"/>
      <c r="J245" s="85"/>
    </row>
    <row r="246" spans="1:10" x14ac:dyDescent="0.25">
      <c r="A246" s="101"/>
      <c r="B246" s="87"/>
      <c r="C246" s="24" t="s">
        <v>14</v>
      </c>
      <c r="D246" s="23">
        <f t="shared" si="13"/>
        <v>762276.45</v>
      </c>
      <c r="E246" s="23">
        <f>906131.57-143855.12</f>
        <v>762276.45</v>
      </c>
      <c r="F246" s="23"/>
      <c r="G246" s="23"/>
      <c r="H246" s="23"/>
      <c r="I246" s="23"/>
      <c r="J246" s="85"/>
    </row>
    <row r="247" spans="1:10" x14ac:dyDescent="0.25">
      <c r="A247" s="101"/>
      <c r="B247" s="87"/>
      <c r="C247" s="24" t="s">
        <v>15</v>
      </c>
      <c r="D247" s="23">
        <f t="shared" si="13"/>
        <v>202630.47</v>
      </c>
      <c r="E247" s="23">
        <f>240870.43-38239.96</f>
        <v>202630.47</v>
      </c>
      <c r="F247" s="23"/>
      <c r="G247" s="23"/>
      <c r="H247" s="23"/>
      <c r="I247" s="23"/>
      <c r="J247" s="85"/>
    </row>
    <row r="248" spans="1:10" ht="12.6" customHeight="1" x14ac:dyDescent="0.25">
      <c r="A248" s="101" t="s">
        <v>203</v>
      </c>
      <c r="B248" s="87" t="s">
        <v>10</v>
      </c>
      <c r="C248" s="24" t="s">
        <v>11</v>
      </c>
      <c r="D248" s="23">
        <f t="shared" si="13"/>
        <v>1078534.04</v>
      </c>
      <c r="E248" s="23">
        <f>SUM(E250:E251)</f>
        <v>1078534.04</v>
      </c>
      <c r="F248" s="23"/>
      <c r="G248" s="23"/>
      <c r="H248" s="23"/>
      <c r="I248" s="23"/>
      <c r="J248" s="85"/>
    </row>
    <row r="249" spans="1:10" ht="13.15" customHeight="1" x14ac:dyDescent="0.25">
      <c r="A249" s="101"/>
      <c r="B249" s="87"/>
      <c r="C249" s="24" t="s">
        <v>13</v>
      </c>
      <c r="D249" s="23">
        <f t="shared" si="13"/>
        <v>0</v>
      </c>
      <c r="E249" s="23">
        <v>0</v>
      </c>
      <c r="F249" s="23"/>
      <c r="G249" s="23"/>
      <c r="H249" s="23"/>
      <c r="I249" s="23"/>
      <c r="J249" s="85"/>
    </row>
    <row r="250" spans="1:10" ht="13.15" customHeight="1" x14ac:dyDescent="0.25">
      <c r="A250" s="101"/>
      <c r="B250" s="87"/>
      <c r="C250" s="24" t="s">
        <v>14</v>
      </c>
      <c r="D250" s="23">
        <f t="shared" si="13"/>
        <v>852041.88</v>
      </c>
      <c r="E250" s="23">
        <f>1058222.99-206181.11</f>
        <v>852041.88</v>
      </c>
      <c r="F250" s="23"/>
      <c r="G250" s="23"/>
      <c r="H250" s="23"/>
      <c r="I250" s="23"/>
      <c r="J250" s="85"/>
    </row>
    <row r="251" spans="1:10" ht="12.6" customHeight="1" x14ac:dyDescent="0.25">
      <c r="A251" s="101"/>
      <c r="B251" s="87"/>
      <c r="C251" s="24" t="s">
        <v>15</v>
      </c>
      <c r="D251" s="23">
        <f t="shared" si="13"/>
        <v>226492.16</v>
      </c>
      <c r="E251" s="23">
        <f>281299.81-54807.65</f>
        <v>226492.16</v>
      </c>
      <c r="F251" s="23"/>
      <c r="G251" s="23"/>
      <c r="H251" s="23"/>
      <c r="I251" s="23"/>
      <c r="J251" s="85"/>
    </row>
    <row r="252" spans="1:10" ht="22.5" x14ac:dyDescent="0.25">
      <c r="A252" s="101" t="s">
        <v>204</v>
      </c>
      <c r="B252" s="87" t="s">
        <v>10</v>
      </c>
      <c r="C252" s="24" t="s">
        <v>11</v>
      </c>
      <c r="D252" s="23">
        <f t="shared" si="13"/>
        <v>354069.53</v>
      </c>
      <c r="E252" s="23">
        <f>SUM(E254:E255)</f>
        <v>354069.53</v>
      </c>
      <c r="F252" s="23"/>
      <c r="G252" s="23"/>
      <c r="H252" s="23"/>
      <c r="I252" s="23"/>
      <c r="J252" s="85"/>
    </row>
    <row r="253" spans="1:10" ht="12.6" customHeight="1" x14ac:dyDescent="0.25">
      <c r="A253" s="101"/>
      <c r="B253" s="87"/>
      <c r="C253" s="24" t="s">
        <v>13</v>
      </c>
      <c r="D253" s="23">
        <f t="shared" si="13"/>
        <v>0</v>
      </c>
      <c r="E253" s="23">
        <v>0</v>
      </c>
      <c r="F253" s="23"/>
      <c r="G253" s="23"/>
      <c r="H253" s="23"/>
      <c r="I253" s="23"/>
      <c r="J253" s="85"/>
    </row>
    <row r="254" spans="1:10" ht="12.6" customHeight="1" x14ac:dyDescent="0.25">
      <c r="A254" s="101"/>
      <c r="B254" s="87"/>
      <c r="C254" s="24" t="s">
        <v>14</v>
      </c>
      <c r="D254" s="23">
        <f t="shared" si="13"/>
        <v>279714.92000000004</v>
      </c>
      <c r="E254" s="23">
        <f>356331.39-76616.47</f>
        <v>279714.92000000004</v>
      </c>
      <c r="F254" s="23"/>
      <c r="G254" s="23"/>
      <c r="H254" s="23"/>
      <c r="I254" s="23"/>
      <c r="J254" s="85"/>
    </row>
    <row r="255" spans="1:10" ht="12.6" customHeight="1" x14ac:dyDescent="0.25">
      <c r="A255" s="101"/>
      <c r="B255" s="87"/>
      <c r="C255" s="24" t="s">
        <v>15</v>
      </c>
      <c r="D255" s="23">
        <f t="shared" si="13"/>
        <v>74354.609999999986</v>
      </c>
      <c r="E255" s="23">
        <f>94721.01-20366.4</f>
        <v>74354.609999999986</v>
      </c>
      <c r="F255" s="23"/>
      <c r="G255" s="23"/>
      <c r="H255" s="23"/>
      <c r="I255" s="23"/>
      <c r="J255" s="85"/>
    </row>
    <row r="256" spans="1:10" ht="13.9" customHeight="1" x14ac:dyDescent="0.25">
      <c r="A256" s="101" t="s">
        <v>205</v>
      </c>
      <c r="B256" s="87" t="s">
        <v>10</v>
      </c>
      <c r="C256" s="24" t="s">
        <v>11</v>
      </c>
      <c r="D256" s="23">
        <f t="shared" si="13"/>
        <v>377713.27999999997</v>
      </c>
      <c r="E256" s="23">
        <f>SUM(E258:E259)</f>
        <v>377713.27999999997</v>
      </c>
      <c r="F256" s="23"/>
      <c r="G256" s="23"/>
      <c r="H256" s="23"/>
      <c r="I256" s="23"/>
      <c r="J256" s="85"/>
    </row>
    <row r="257" spans="1:10" ht="13.15" customHeight="1" x14ac:dyDescent="0.25">
      <c r="A257" s="101"/>
      <c r="B257" s="87"/>
      <c r="C257" s="24" t="s">
        <v>13</v>
      </c>
      <c r="D257" s="23">
        <f t="shared" si="13"/>
        <v>0</v>
      </c>
      <c r="E257" s="23">
        <v>0</v>
      </c>
      <c r="F257" s="23"/>
      <c r="G257" s="23"/>
      <c r="H257" s="23"/>
      <c r="I257" s="23"/>
      <c r="J257" s="85"/>
    </row>
    <row r="258" spans="1:10" ht="12.6" customHeight="1" x14ac:dyDescent="0.25">
      <c r="A258" s="101"/>
      <c r="B258" s="87"/>
      <c r="C258" s="24" t="s">
        <v>14</v>
      </c>
      <c r="D258" s="23">
        <f t="shared" si="13"/>
        <v>298393.49</v>
      </c>
      <c r="E258" s="23">
        <f>346931.02-48537.53</f>
        <v>298393.49</v>
      </c>
      <c r="F258" s="23"/>
      <c r="G258" s="23"/>
      <c r="H258" s="23"/>
      <c r="I258" s="23"/>
      <c r="J258" s="85"/>
    </row>
    <row r="259" spans="1:10" ht="12.6" customHeight="1" x14ac:dyDescent="0.25">
      <c r="A259" s="101"/>
      <c r="B259" s="87"/>
      <c r="C259" s="24" t="s">
        <v>15</v>
      </c>
      <c r="D259" s="23">
        <f t="shared" si="13"/>
        <v>79319.789999999994</v>
      </c>
      <c r="E259" s="23">
        <f>92222.18-12902.39</f>
        <v>79319.789999999994</v>
      </c>
      <c r="F259" s="23"/>
      <c r="G259" s="23"/>
      <c r="H259" s="23"/>
      <c r="I259" s="23"/>
      <c r="J259" s="85"/>
    </row>
    <row r="260" spans="1:10" ht="22.5" x14ac:dyDescent="0.25">
      <c r="A260" s="101" t="s">
        <v>206</v>
      </c>
      <c r="B260" s="87" t="s">
        <v>10</v>
      </c>
      <c r="C260" s="24" t="s">
        <v>11</v>
      </c>
      <c r="D260" s="23">
        <f t="shared" si="13"/>
        <v>1201362.21</v>
      </c>
      <c r="E260" s="23">
        <f>SUM(E262:E263)</f>
        <v>1201362.21</v>
      </c>
      <c r="F260" s="23"/>
      <c r="G260" s="23"/>
      <c r="H260" s="23"/>
      <c r="I260" s="23"/>
      <c r="J260" s="85"/>
    </row>
    <row r="261" spans="1:10" ht="13.15" customHeight="1" x14ac:dyDescent="0.25">
      <c r="A261" s="101"/>
      <c r="B261" s="87"/>
      <c r="C261" s="24" t="s">
        <v>13</v>
      </c>
      <c r="D261" s="23">
        <f t="shared" si="13"/>
        <v>0</v>
      </c>
      <c r="E261" s="23">
        <v>0</v>
      </c>
      <c r="F261" s="23"/>
      <c r="G261" s="23"/>
      <c r="H261" s="23"/>
      <c r="I261" s="23"/>
      <c r="J261" s="85"/>
    </row>
    <row r="262" spans="1:10" ht="12.6" customHeight="1" x14ac:dyDescent="0.25">
      <c r="A262" s="101"/>
      <c r="B262" s="87"/>
      <c r="C262" s="24" t="s">
        <v>14</v>
      </c>
      <c r="D262" s="23">
        <f t="shared" si="13"/>
        <v>949076.1399999999</v>
      </c>
      <c r="E262" s="23">
        <f>1060830.95-111754.81</f>
        <v>949076.1399999999</v>
      </c>
      <c r="F262" s="23"/>
      <c r="G262" s="23"/>
      <c r="H262" s="23"/>
      <c r="I262" s="23"/>
      <c r="J262" s="85"/>
    </row>
    <row r="263" spans="1:10" ht="13.15" customHeight="1" x14ac:dyDescent="0.25">
      <c r="A263" s="101"/>
      <c r="B263" s="87"/>
      <c r="C263" s="24" t="s">
        <v>15</v>
      </c>
      <c r="D263" s="23">
        <f t="shared" si="13"/>
        <v>252286.06999999998</v>
      </c>
      <c r="E263" s="23">
        <f>281993.05-29706.98</f>
        <v>252286.06999999998</v>
      </c>
      <c r="F263" s="23"/>
      <c r="G263" s="23"/>
      <c r="H263" s="23"/>
      <c r="I263" s="23"/>
      <c r="J263" s="85"/>
    </row>
    <row r="264" spans="1:10" ht="13.9" customHeight="1" x14ac:dyDescent="0.25">
      <c r="A264" s="101" t="s">
        <v>207</v>
      </c>
      <c r="B264" s="87" t="s">
        <v>10</v>
      </c>
      <c r="C264" s="24" t="s">
        <v>11</v>
      </c>
      <c r="D264" s="23">
        <f t="shared" si="13"/>
        <v>824906.40999999992</v>
      </c>
      <c r="E264" s="23">
        <f>SUM(E266:E267)</f>
        <v>824906.40999999992</v>
      </c>
      <c r="F264" s="23"/>
      <c r="G264" s="23"/>
      <c r="H264" s="23"/>
      <c r="I264" s="23"/>
      <c r="J264" s="85"/>
    </row>
    <row r="265" spans="1:10" ht="13.9" customHeight="1" x14ac:dyDescent="0.25">
      <c r="A265" s="101"/>
      <c r="B265" s="87"/>
      <c r="C265" s="24" t="s">
        <v>13</v>
      </c>
      <c r="D265" s="23">
        <f t="shared" si="13"/>
        <v>0</v>
      </c>
      <c r="E265" s="23">
        <v>0</v>
      </c>
      <c r="F265" s="23"/>
      <c r="G265" s="23"/>
      <c r="H265" s="23"/>
      <c r="I265" s="23"/>
      <c r="J265" s="85"/>
    </row>
    <row r="266" spans="1:10" ht="13.9" customHeight="1" x14ac:dyDescent="0.25">
      <c r="A266" s="101"/>
      <c r="B266" s="87"/>
      <c r="C266" s="24" t="s">
        <v>14</v>
      </c>
      <c r="D266" s="23">
        <f t="shared" si="13"/>
        <v>651676.04999999993</v>
      </c>
      <c r="E266" s="23">
        <f>971060.08-319384.03</f>
        <v>651676.04999999993</v>
      </c>
      <c r="F266" s="23"/>
      <c r="G266" s="23"/>
      <c r="H266" s="23"/>
      <c r="I266" s="23"/>
      <c r="J266" s="85"/>
    </row>
    <row r="267" spans="1:10" ht="12.6" customHeight="1" x14ac:dyDescent="0.25">
      <c r="A267" s="101"/>
      <c r="B267" s="87"/>
      <c r="C267" s="24" t="s">
        <v>15</v>
      </c>
      <c r="D267" s="23">
        <f t="shared" si="13"/>
        <v>173230.36000000002</v>
      </c>
      <c r="E267" s="23">
        <f>258129.92-84899.56</f>
        <v>173230.36000000002</v>
      </c>
      <c r="F267" s="23"/>
      <c r="G267" s="23"/>
      <c r="H267" s="23"/>
      <c r="I267" s="23"/>
      <c r="J267" s="85"/>
    </row>
    <row r="268" spans="1:10" ht="12.6" customHeight="1" x14ac:dyDescent="0.25">
      <c r="A268" s="101" t="s">
        <v>208</v>
      </c>
      <c r="B268" s="87" t="s">
        <v>10</v>
      </c>
      <c r="C268" s="33" t="s">
        <v>11</v>
      </c>
      <c r="D268" s="23">
        <f t="shared" si="13"/>
        <v>645716.31000000006</v>
      </c>
      <c r="E268" s="23"/>
      <c r="F268" s="23">
        <f>SUM(F269:F271)</f>
        <v>645716.31000000006</v>
      </c>
      <c r="G268" s="23"/>
      <c r="H268" s="23"/>
      <c r="I268" s="23"/>
      <c r="J268" s="85"/>
    </row>
    <row r="269" spans="1:10" ht="12.6" customHeight="1" x14ac:dyDescent="0.25">
      <c r="A269" s="101"/>
      <c r="B269" s="87"/>
      <c r="C269" s="33" t="s">
        <v>13</v>
      </c>
      <c r="D269" s="23">
        <f t="shared" si="13"/>
        <v>0</v>
      </c>
      <c r="E269" s="23"/>
      <c r="F269" s="23">
        <v>0</v>
      </c>
      <c r="G269" s="23"/>
      <c r="H269" s="23"/>
      <c r="I269" s="23"/>
      <c r="J269" s="85"/>
    </row>
    <row r="270" spans="1:10" ht="12.6" customHeight="1" x14ac:dyDescent="0.25">
      <c r="A270" s="101"/>
      <c r="B270" s="87"/>
      <c r="C270" s="33" t="s">
        <v>14</v>
      </c>
      <c r="D270" s="23">
        <f t="shared" si="13"/>
        <v>510115.94</v>
      </c>
      <c r="E270" s="23"/>
      <c r="F270" s="23">
        <v>510115.94</v>
      </c>
      <c r="G270" s="23"/>
      <c r="H270" s="23"/>
      <c r="I270" s="23"/>
      <c r="J270" s="85"/>
    </row>
    <row r="271" spans="1:10" ht="12.6" customHeight="1" x14ac:dyDescent="0.25">
      <c r="A271" s="101"/>
      <c r="B271" s="87"/>
      <c r="C271" s="33" t="s">
        <v>15</v>
      </c>
      <c r="D271" s="23">
        <f t="shared" ref="D271:D279" si="14">SUM(E271:I271)</f>
        <v>135600.37</v>
      </c>
      <c r="E271" s="23"/>
      <c r="F271" s="23">
        <v>135600.37</v>
      </c>
      <c r="G271" s="23"/>
      <c r="H271" s="23"/>
      <c r="I271" s="23"/>
      <c r="J271" s="86"/>
    </row>
    <row r="272" spans="1:10" ht="12" customHeight="1" x14ac:dyDescent="0.25">
      <c r="A272" s="66" t="s">
        <v>195</v>
      </c>
      <c r="B272" s="73" t="s">
        <v>10</v>
      </c>
      <c r="C272" s="24" t="s">
        <v>11</v>
      </c>
      <c r="D272" s="22">
        <f t="shared" si="14"/>
        <v>273919.57</v>
      </c>
      <c r="E272" s="22"/>
      <c r="F272" s="22"/>
      <c r="G272" s="22">
        <f>SUM(G273:G275)</f>
        <v>273919.57</v>
      </c>
      <c r="H272" s="22"/>
      <c r="I272" s="22"/>
      <c r="J272" s="84" t="s">
        <v>31</v>
      </c>
    </row>
    <row r="273" spans="1:10" ht="12" customHeight="1" x14ac:dyDescent="0.25">
      <c r="A273" s="67"/>
      <c r="B273" s="74"/>
      <c r="C273" s="24" t="s">
        <v>13</v>
      </c>
      <c r="D273" s="22">
        <f t="shared" si="14"/>
        <v>0</v>
      </c>
      <c r="E273" s="22"/>
      <c r="F273" s="22"/>
      <c r="G273" s="22">
        <v>0</v>
      </c>
      <c r="H273" s="22"/>
      <c r="I273" s="22"/>
      <c r="J273" s="85"/>
    </row>
    <row r="274" spans="1:10" ht="12.6" customHeight="1" x14ac:dyDescent="0.25">
      <c r="A274" s="67"/>
      <c r="B274" s="74"/>
      <c r="C274" s="24" t="s">
        <v>14</v>
      </c>
      <c r="D274" s="22">
        <f t="shared" si="14"/>
        <v>0</v>
      </c>
      <c r="E274" s="22"/>
      <c r="F274" s="22"/>
      <c r="G274" s="22">
        <v>0</v>
      </c>
      <c r="H274" s="22"/>
      <c r="I274" s="22"/>
      <c r="J274" s="85"/>
    </row>
    <row r="275" spans="1:10" ht="12" customHeight="1" x14ac:dyDescent="0.25">
      <c r="A275" s="68"/>
      <c r="B275" s="75"/>
      <c r="C275" s="24" t="s">
        <v>15</v>
      </c>
      <c r="D275" s="22">
        <f t="shared" si="14"/>
        <v>273919.57</v>
      </c>
      <c r="E275" s="22"/>
      <c r="F275" s="22"/>
      <c r="G275" s="22">
        <v>273919.57</v>
      </c>
      <c r="H275" s="22"/>
      <c r="I275" s="22"/>
      <c r="J275" s="86"/>
    </row>
    <row r="276" spans="1:10" ht="12.6" customHeight="1" x14ac:dyDescent="0.25">
      <c r="A276" s="66" t="s">
        <v>196</v>
      </c>
      <c r="B276" s="73" t="s">
        <v>10</v>
      </c>
      <c r="C276" s="24" t="s">
        <v>11</v>
      </c>
      <c r="D276" s="22">
        <f t="shared" si="14"/>
        <v>481511.19</v>
      </c>
      <c r="E276" s="23"/>
      <c r="F276" s="23"/>
      <c r="G276" s="22">
        <f>SUM(G277:G279)</f>
        <v>481511.19</v>
      </c>
      <c r="H276" s="23"/>
      <c r="I276" s="23"/>
      <c r="J276" s="84" t="s">
        <v>228</v>
      </c>
    </row>
    <row r="277" spans="1:10" ht="13.9" customHeight="1" x14ac:dyDescent="0.25">
      <c r="A277" s="67"/>
      <c r="B277" s="74"/>
      <c r="C277" s="24" t="s">
        <v>13</v>
      </c>
      <c r="D277" s="22">
        <f t="shared" si="14"/>
        <v>0</v>
      </c>
      <c r="E277" s="23"/>
      <c r="F277" s="23"/>
      <c r="G277" s="22">
        <f t="shared" ref="G277:G278" si="15">G281+G285+G289</f>
        <v>0</v>
      </c>
      <c r="H277" s="23"/>
      <c r="I277" s="23"/>
      <c r="J277" s="85"/>
    </row>
    <row r="278" spans="1:10" ht="12.6" customHeight="1" x14ac:dyDescent="0.25">
      <c r="A278" s="67"/>
      <c r="B278" s="74"/>
      <c r="C278" s="24" t="s">
        <v>14</v>
      </c>
      <c r="D278" s="22">
        <f t="shared" si="14"/>
        <v>0</v>
      </c>
      <c r="E278" s="23"/>
      <c r="F278" s="23"/>
      <c r="G278" s="22">
        <f t="shared" si="15"/>
        <v>0</v>
      </c>
      <c r="H278" s="23"/>
      <c r="I278" s="23"/>
      <c r="J278" s="85"/>
    </row>
    <row r="279" spans="1:10" ht="12" customHeight="1" x14ac:dyDescent="0.25">
      <c r="A279" s="68"/>
      <c r="B279" s="75"/>
      <c r="C279" s="24" t="s">
        <v>15</v>
      </c>
      <c r="D279" s="22">
        <f t="shared" si="14"/>
        <v>481511.19</v>
      </c>
      <c r="E279" s="23"/>
      <c r="F279" s="23"/>
      <c r="G279" s="22">
        <f>G283+G287+G291</f>
        <v>481511.19</v>
      </c>
      <c r="H279" s="23"/>
      <c r="I279" s="23"/>
      <c r="J279" s="85"/>
    </row>
    <row r="280" spans="1:10" ht="12" customHeight="1" x14ac:dyDescent="0.25">
      <c r="A280" s="76" t="s">
        <v>197</v>
      </c>
      <c r="B280" s="73" t="s">
        <v>10</v>
      </c>
      <c r="C280" s="57" t="s">
        <v>11</v>
      </c>
      <c r="D280" s="22">
        <f t="shared" ref="D280:D291" si="16">SUM(E280:I280)</f>
        <v>371812.16</v>
      </c>
      <c r="E280" s="23"/>
      <c r="F280" s="23"/>
      <c r="G280" s="23">
        <f>SUM(G281:G283)</f>
        <v>371812.16</v>
      </c>
      <c r="H280" s="23"/>
      <c r="I280" s="23"/>
      <c r="J280" s="85"/>
    </row>
    <row r="281" spans="1:10" ht="12" customHeight="1" x14ac:dyDescent="0.25">
      <c r="A281" s="77"/>
      <c r="B281" s="74"/>
      <c r="C281" s="57" t="s">
        <v>13</v>
      </c>
      <c r="D281" s="22">
        <f t="shared" si="16"/>
        <v>0</v>
      </c>
      <c r="E281" s="23"/>
      <c r="F281" s="23"/>
      <c r="G281" s="23">
        <v>0</v>
      </c>
      <c r="H281" s="23"/>
      <c r="I281" s="23"/>
      <c r="J281" s="85"/>
    </row>
    <row r="282" spans="1:10" ht="12" customHeight="1" x14ac:dyDescent="0.25">
      <c r="A282" s="77"/>
      <c r="B282" s="74"/>
      <c r="C282" s="57" t="s">
        <v>14</v>
      </c>
      <c r="D282" s="22">
        <f t="shared" si="16"/>
        <v>0</v>
      </c>
      <c r="E282" s="23"/>
      <c r="F282" s="23"/>
      <c r="G282" s="23">
        <v>0</v>
      </c>
      <c r="H282" s="23"/>
      <c r="I282" s="23"/>
      <c r="J282" s="85"/>
    </row>
    <row r="283" spans="1:10" ht="12" customHeight="1" x14ac:dyDescent="0.25">
      <c r="A283" s="78"/>
      <c r="B283" s="75"/>
      <c r="C283" s="57" t="s">
        <v>15</v>
      </c>
      <c r="D283" s="22">
        <f t="shared" si="16"/>
        <v>371812.16</v>
      </c>
      <c r="E283" s="23"/>
      <c r="F283" s="23"/>
      <c r="G283" s="23">
        <v>371812.16</v>
      </c>
      <c r="H283" s="23"/>
      <c r="I283" s="23"/>
      <c r="J283" s="85"/>
    </row>
    <row r="284" spans="1:10" ht="12" customHeight="1" x14ac:dyDescent="0.25">
      <c r="A284" s="76" t="s">
        <v>198</v>
      </c>
      <c r="B284" s="73" t="s">
        <v>10</v>
      </c>
      <c r="C284" s="57" t="s">
        <v>11</v>
      </c>
      <c r="D284" s="22">
        <f t="shared" si="16"/>
        <v>21387.08</v>
      </c>
      <c r="E284" s="23"/>
      <c r="F284" s="23"/>
      <c r="G284" s="23">
        <f>SUM(G285:G287)</f>
        <v>21387.08</v>
      </c>
      <c r="H284" s="23"/>
      <c r="I284" s="23"/>
      <c r="J284" s="85"/>
    </row>
    <row r="285" spans="1:10" ht="12" customHeight="1" x14ac:dyDescent="0.25">
      <c r="A285" s="77"/>
      <c r="B285" s="74"/>
      <c r="C285" s="57" t="s">
        <v>13</v>
      </c>
      <c r="D285" s="22">
        <f t="shared" si="16"/>
        <v>0</v>
      </c>
      <c r="E285" s="23"/>
      <c r="F285" s="23"/>
      <c r="G285" s="23">
        <v>0</v>
      </c>
      <c r="H285" s="23"/>
      <c r="I285" s="23"/>
      <c r="J285" s="85"/>
    </row>
    <row r="286" spans="1:10" ht="12" customHeight="1" x14ac:dyDescent="0.25">
      <c r="A286" s="77"/>
      <c r="B286" s="74"/>
      <c r="C286" s="57" t="s">
        <v>14</v>
      </c>
      <c r="D286" s="22">
        <f t="shared" si="16"/>
        <v>0</v>
      </c>
      <c r="E286" s="23"/>
      <c r="F286" s="23"/>
      <c r="G286" s="23">
        <v>0</v>
      </c>
      <c r="H286" s="23"/>
      <c r="I286" s="23"/>
      <c r="J286" s="85"/>
    </row>
    <row r="287" spans="1:10" ht="12" customHeight="1" x14ac:dyDescent="0.25">
      <c r="A287" s="78"/>
      <c r="B287" s="75"/>
      <c r="C287" s="57" t="s">
        <v>15</v>
      </c>
      <c r="D287" s="22">
        <f t="shared" si="16"/>
        <v>21387.08</v>
      </c>
      <c r="E287" s="23"/>
      <c r="F287" s="23"/>
      <c r="G287" s="23">
        <v>21387.08</v>
      </c>
      <c r="H287" s="23"/>
      <c r="I287" s="23"/>
      <c r="J287" s="85"/>
    </row>
    <row r="288" spans="1:10" ht="12" customHeight="1" x14ac:dyDescent="0.25">
      <c r="A288" s="76" t="s">
        <v>199</v>
      </c>
      <c r="B288" s="73" t="s">
        <v>10</v>
      </c>
      <c r="C288" s="57" t="s">
        <v>11</v>
      </c>
      <c r="D288" s="22">
        <f t="shared" si="16"/>
        <v>88311.95</v>
      </c>
      <c r="E288" s="23"/>
      <c r="F288" s="23"/>
      <c r="G288" s="23">
        <f>SUM(G289:G291)</f>
        <v>88311.95</v>
      </c>
      <c r="H288" s="23"/>
      <c r="I288" s="23"/>
      <c r="J288" s="85"/>
    </row>
    <row r="289" spans="1:10" ht="12" customHeight="1" x14ac:dyDescent="0.25">
      <c r="A289" s="77"/>
      <c r="B289" s="74"/>
      <c r="C289" s="57" t="s">
        <v>13</v>
      </c>
      <c r="D289" s="22">
        <f t="shared" si="16"/>
        <v>0</v>
      </c>
      <c r="E289" s="23"/>
      <c r="F289" s="23"/>
      <c r="G289" s="23">
        <v>0</v>
      </c>
      <c r="H289" s="23"/>
      <c r="I289" s="23"/>
      <c r="J289" s="85"/>
    </row>
    <row r="290" spans="1:10" ht="12" customHeight="1" x14ac:dyDescent="0.25">
      <c r="A290" s="77"/>
      <c r="B290" s="74"/>
      <c r="C290" s="57" t="s">
        <v>14</v>
      </c>
      <c r="D290" s="22">
        <f t="shared" si="16"/>
        <v>0</v>
      </c>
      <c r="E290" s="23"/>
      <c r="F290" s="23"/>
      <c r="G290" s="23">
        <v>0</v>
      </c>
      <c r="H290" s="23"/>
      <c r="I290" s="23"/>
      <c r="J290" s="85"/>
    </row>
    <row r="291" spans="1:10" ht="12" customHeight="1" x14ac:dyDescent="0.25">
      <c r="A291" s="78"/>
      <c r="B291" s="75"/>
      <c r="C291" s="57" t="s">
        <v>15</v>
      </c>
      <c r="D291" s="22">
        <f t="shared" si="16"/>
        <v>88311.95</v>
      </c>
      <c r="E291" s="23"/>
      <c r="F291" s="23"/>
      <c r="G291" s="23">
        <v>88311.95</v>
      </c>
      <c r="H291" s="23"/>
      <c r="I291" s="23"/>
      <c r="J291" s="86"/>
    </row>
    <row r="292" spans="1:10" ht="13.15" customHeight="1" x14ac:dyDescent="0.25">
      <c r="A292" s="66" t="s">
        <v>147</v>
      </c>
      <c r="B292" s="73" t="s">
        <v>10</v>
      </c>
      <c r="C292" s="24" t="s">
        <v>11</v>
      </c>
      <c r="D292" s="22">
        <f t="shared" ref="D292:D319" si="17">SUM(E292:I292)</f>
        <v>209000</v>
      </c>
      <c r="E292" s="22">
        <f>SUM(E293:E295)</f>
        <v>209000</v>
      </c>
      <c r="F292" s="22"/>
      <c r="G292" s="22"/>
      <c r="H292" s="22"/>
      <c r="I292" s="22"/>
      <c r="J292" s="84" t="s">
        <v>34</v>
      </c>
    </row>
    <row r="293" spans="1:10" ht="12" customHeight="1" x14ac:dyDescent="0.25">
      <c r="A293" s="67"/>
      <c r="B293" s="74"/>
      <c r="C293" s="24" t="s">
        <v>13</v>
      </c>
      <c r="D293" s="22">
        <f t="shared" si="17"/>
        <v>0</v>
      </c>
      <c r="E293" s="22">
        <v>0</v>
      </c>
      <c r="F293" s="22"/>
      <c r="G293" s="22"/>
      <c r="H293" s="22"/>
      <c r="I293" s="22"/>
      <c r="J293" s="85"/>
    </row>
    <row r="294" spans="1:10" ht="11.45" customHeight="1" x14ac:dyDescent="0.25">
      <c r="A294" s="67"/>
      <c r="B294" s="74"/>
      <c r="C294" s="24" t="s">
        <v>14</v>
      </c>
      <c r="D294" s="22">
        <f t="shared" si="17"/>
        <v>0</v>
      </c>
      <c r="E294" s="22">
        <v>0</v>
      </c>
      <c r="F294" s="22"/>
      <c r="G294" s="22"/>
      <c r="H294" s="22"/>
      <c r="I294" s="22"/>
      <c r="J294" s="85"/>
    </row>
    <row r="295" spans="1:10" ht="21.75" customHeight="1" x14ac:dyDescent="0.25">
      <c r="A295" s="68"/>
      <c r="B295" s="75"/>
      <c r="C295" s="24" t="s">
        <v>15</v>
      </c>
      <c r="D295" s="22">
        <f t="shared" si="17"/>
        <v>209000</v>
      </c>
      <c r="E295" s="22">
        <v>209000</v>
      </c>
      <c r="F295" s="22"/>
      <c r="G295" s="22"/>
      <c r="H295" s="22"/>
      <c r="I295" s="22"/>
      <c r="J295" s="86"/>
    </row>
    <row r="296" spans="1:10" ht="11.45" customHeight="1" x14ac:dyDescent="0.25">
      <c r="A296" s="66" t="s">
        <v>148</v>
      </c>
      <c r="B296" s="73" t="s">
        <v>10</v>
      </c>
      <c r="C296" s="24" t="s">
        <v>11</v>
      </c>
      <c r="D296" s="22">
        <f t="shared" si="17"/>
        <v>182875</v>
      </c>
      <c r="E296" s="22">
        <f>SUM(E297:E299)</f>
        <v>182875</v>
      </c>
      <c r="F296" s="22"/>
      <c r="G296" s="22"/>
      <c r="H296" s="22"/>
      <c r="I296" s="22"/>
      <c r="J296" s="84" t="s">
        <v>35</v>
      </c>
    </row>
    <row r="297" spans="1:10" ht="12" customHeight="1" x14ac:dyDescent="0.25">
      <c r="A297" s="67"/>
      <c r="B297" s="74"/>
      <c r="C297" s="24" t="s">
        <v>13</v>
      </c>
      <c r="D297" s="22">
        <f t="shared" si="17"/>
        <v>0</v>
      </c>
      <c r="E297" s="22">
        <v>0</v>
      </c>
      <c r="F297" s="22"/>
      <c r="G297" s="22"/>
      <c r="H297" s="22"/>
      <c r="I297" s="22"/>
      <c r="J297" s="85"/>
    </row>
    <row r="298" spans="1:10" ht="11.45" customHeight="1" x14ac:dyDescent="0.25">
      <c r="A298" s="67"/>
      <c r="B298" s="74"/>
      <c r="C298" s="24" t="s">
        <v>14</v>
      </c>
      <c r="D298" s="22">
        <f t="shared" si="17"/>
        <v>0</v>
      </c>
      <c r="E298" s="22">
        <v>0</v>
      </c>
      <c r="F298" s="22"/>
      <c r="G298" s="22"/>
      <c r="H298" s="22"/>
      <c r="I298" s="22"/>
      <c r="J298" s="85"/>
    </row>
    <row r="299" spans="1:10" ht="12.6" customHeight="1" x14ac:dyDescent="0.25">
      <c r="A299" s="68"/>
      <c r="B299" s="75"/>
      <c r="C299" s="24" t="s">
        <v>15</v>
      </c>
      <c r="D299" s="22">
        <f t="shared" si="17"/>
        <v>182875</v>
      </c>
      <c r="E299" s="22">
        <v>182875</v>
      </c>
      <c r="F299" s="22"/>
      <c r="G299" s="22"/>
      <c r="H299" s="22"/>
      <c r="I299" s="22"/>
      <c r="J299" s="86"/>
    </row>
    <row r="300" spans="1:10" ht="12" customHeight="1" x14ac:dyDescent="0.25">
      <c r="A300" s="66" t="s">
        <v>149</v>
      </c>
      <c r="B300" s="73" t="s">
        <v>10</v>
      </c>
      <c r="C300" s="24" t="s">
        <v>11</v>
      </c>
      <c r="D300" s="22">
        <f t="shared" si="17"/>
        <v>182875</v>
      </c>
      <c r="E300" s="22">
        <f>SUM(E301:E303)</f>
        <v>182875</v>
      </c>
      <c r="F300" s="22"/>
      <c r="G300" s="22"/>
      <c r="H300" s="22"/>
      <c r="I300" s="22"/>
      <c r="J300" s="84" t="s">
        <v>36</v>
      </c>
    </row>
    <row r="301" spans="1:10" ht="10.9" customHeight="1" x14ac:dyDescent="0.25">
      <c r="A301" s="67"/>
      <c r="B301" s="74"/>
      <c r="C301" s="24" t="s">
        <v>13</v>
      </c>
      <c r="D301" s="22">
        <f t="shared" si="17"/>
        <v>0</v>
      </c>
      <c r="E301" s="22">
        <v>0</v>
      </c>
      <c r="F301" s="22"/>
      <c r="G301" s="22"/>
      <c r="H301" s="22"/>
      <c r="I301" s="22"/>
      <c r="J301" s="85"/>
    </row>
    <row r="302" spans="1:10" ht="12" customHeight="1" x14ac:dyDescent="0.25">
      <c r="A302" s="67"/>
      <c r="B302" s="74"/>
      <c r="C302" s="24" t="s">
        <v>14</v>
      </c>
      <c r="D302" s="22">
        <f t="shared" si="17"/>
        <v>0</v>
      </c>
      <c r="E302" s="22">
        <v>0</v>
      </c>
      <c r="F302" s="22"/>
      <c r="G302" s="22"/>
      <c r="H302" s="22"/>
      <c r="I302" s="22"/>
      <c r="J302" s="85"/>
    </row>
    <row r="303" spans="1:10" ht="12" customHeight="1" x14ac:dyDescent="0.25">
      <c r="A303" s="68"/>
      <c r="B303" s="75"/>
      <c r="C303" s="24" t="s">
        <v>15</v>
      </c>
      <c r="D303" s="22">
        <f t="shared" si="17"/>
        <v>182875</v>
      </c>
      <c r="E303" s="22">
        <v>182875</v>
      </c>
      <c r="F303" s="22"/>
      <c r="G303" s="22"/>
      <c r="H303" s="22"/>
      <c r="I303" s="22"/>
      <c r="J303" s="86"/>
    </row>
    <row r="304" spans="1:10" ht="12" customHeight="1" x14ac:dyDescent="0.25">
      <c r="A304" s="66" t="s">
        <v>150</v>
      </c>
      <c r="B304" s="73" t="s">
        <v>10</v>
      </c>
      <c r="C304" s="24" t="s">
        <v>11</v>
      </c>
      <c r="D304" s="22">
        <f t="shared" si="17"/>
        <v>53848.02</v>
      </c>
      <c r="E304" s="22">
        <v>53848.02</v>
      </c>
      <c r="F304" s="22"/>
      <c r="G304" s="22"/>
      <c r="H304" s="22"/>
      <c r="I304" s="22"/>
      <c r="J304" s="84" t="s">
        <v>37</v>
      </c>
    </row>
    <row r="305" spans="1:10" ht="10.9" customHeight="1" x14ac:dyDescent="0.25">
      <c r="A305" s="67"/>
      <c r="B305" s="74"/>
      <c r="C305" s="24" t="s">
        <v>13</v>
      </c>
      <c r="D305" s="22">
        <f t="shared" si="17"/>
        <v>0</v>
      </c>
      <c r="E305" s="22">
        <v>0</v>
      </c>
      <c r="F305" s="22"/>
      <c r="G305" s="22"/>
      <c r="H305" s="22"/>
      <c r="I305" s="22"/>
      <c r="J305" s="85"/>
    </row>
    <row r="306" spans="1:10" ht="11.45" customHeight="1" x14ac:dyDescent="0.25">
      <c r="A306" s="67"/>
      <c r="B306" s="74"/>
      <c r="C306" s="24" t="s">
        <v>14</v>
      </c>
      <c r="D306" s="22">
        <f t="shared" si="17"/>
        <v>0</v>
      </c>
      <c r="E306" s="22">
        <v>0</v>
      </c>
      <c r="F306" s="22"/>
      <c r="G306" s="22"/>
      <c r="H306" s="22"/>
      <c r="I306" s="22"/>
      <c r="J306" s="85"/>
    </row>
    <row r="307" spans="1:10" ht="11.45" customHeight="1" x14ac:dyDescent="0.25">
      <c r="A307" s="68"/>
      <c r="B307" s="75"/>
      <c r="C307" s="24" t="s">
        <v>15</v>
      </c>
      <c r="D307" s="22">
        <f t="shared" si="17"/>
        <v>53848.02</v>
      </c>
      <c r="E307" s="22">
        <v>53848.02</v>
      </c>
      <c r="F307" s="22"/>
      <c r="G307" s="22"/>
      <c r="H307" s="22"/>
      <c r="I307" s="22"/>
      <c r="J307" s="86"/>
    </row>
    <row r="308" spans="1:10" ht="11.45" customHeight="1" x14ac:dyDescent="0.25">
      <c r="A308" s="66" t="s">
        <v>151</v>
      </c>
      <c r="B308" s="73" t="s">
        <v>10</v>
      </c>
      <c r="C308" s="33" t="s">
        <v>11</v>
      </c>
      <c r="D308" s="22">
        <f t="shared" si="17"/>
        <v>59386.700000000004</v>
      </c>
      <c r="E308" s="22"/>
      <c r="F308" s="22">
        <f>SUM(F309:F311)</f>
        <v>59386.700000000004</v>
      </c>
      <c r="G308" s="22"/>
      <c r="H308" s="22"/>
      <c r="I308" s="22"/>
      <c r="J308" s="84" t="s">
        <v>144</v>
      </c>
    </row>
    <row r="309" spans="1:10" ht="11.45" customHeight="1" x14ac:dyDescent="0.25">
      <c r="A309" s="67"/>
      <c r="B309" s="74"/>
      <c r="C309" s="33" t="s">
        <v>13</v>
      </c>
      <c r="D309" s="22">
        <f t="shared" si="17"/>
        <v>0</v>
      </c>
      <c r="E309" s="22"/>
      <c r="F309" s="22">
        <v>0</v>
      </c>
      <c r="G309" s="22"/>
      <c r="H309" s="22"/>
      <c r="I309" s="22"/>
      <c r="J309" s="85"/>
    </row>
    <row r="310" spans="1:10" ht="11.45" customHeight="1" x14ac:dyDescent="0.25">
      <c r="A310" s="67"/>
      <c r="B310" s="74"/>
      <c r="C310" s="33" t="s">
        <v>14</v>
      </c>
      <c r="D310" s="22">
        <f t="shared" si="17"/>
        <v>0</v>
      </c>
      <c r="E310" s="22"/>
      <c r="F310" s="22">
        <v>0</v>
      </c>
      <c r="G310" s="22"/>
      <c r="H310" s="22"/>
      <c r="I310" s="22"/>
      <c r="J310" s="85"/>
    </row>
    <row r="311" spans="1:10" ht="11.45" customHeight="1" x14ac:dyDescent="0.25">
      <c r="A311" s="68"/>
      <c r="B311" s="75"/>
      <c r="C311" s="33" t="s">
        <v>15</v>
      </c>
      <c r="D311" s="22">
        <f t="shared" si="17"/>
        <v>59386.700000000004</v>
      </c>
      <c r="E311" s="22"/>
      <c r="F311" s="22">
        <f>57024.4+5217.23-2854.93</f>
        <v>59386.700000000004</v>
      </c>
      <c r="G311" s="22"/>
      <c r="H311" s="22"/>
      <c r="I311" s="22"/>
      <c r="J311" s="86"/>
    </row>
    <row r="312" spans="1:10" ht="11.45" customHeight="1" x14ac:dyDescent="0.25">
      <c r="A312" s="66" t="s">
        <v>177</v>
      </c>
      <c r="B312" s="73" t="s">
        <v>10</v>
      </c>
      <c r="C312" s="39" t="s">
        <v>11</v>
      </c>
      <c r="D312" s="22">
        <f t="shared" si="17"/>
        <v>37986.080000000002</v>
      </c>
      <c r="E312" s="22"/>
      <c r="F312" s="22">
        <f>SUM(F313:F315)</f>
        <v>37986.080000000002</v>
      </c>
      <c r="G312" s="22"/>
      <c r="H312" s="22"/>
      <c r="I312" s="22"/>
      <c r="J312" s="84" t="s">
        <v>37</v>
      </c>
    </row>
    <row r="313" spans="1:10" ht="11.45" customHeight="1" x14ac:dyDescent="0.25">
      <c r="A313" s="67"/>
      <c r="B313" s="74"/>
      <c r="C313" s="39" t="s">
        <v>13</v>
      </c>
      <c r="D313" s="22">
        <f t="shared" si="17"/>
        <v>0</v>
      </c>
      <c r="E313" s="22"/>
      <c r="F313" s="22">
        <v>0</v>
      </c>
      <c r="G313" s="22"/>
      <c r="H313" s="22"/>
      <c r="I313" s="22"/>
      <c r="J313" s="85"/>
    </row>
    <row r="314" spans="1:10" ht="11.45" customHeight="1" x14ac:dyDescent="0.25">
      <c r="A314" s="67"/>
      <c r="B314" s="74"/>
      <c r="C314" s="39" t="s">
        <v>14</v>
      </c>
      <c r="D314" s="22">
        <f t="shared" si="17"/>
        <v>0</v>
      </c>
      <c r="E314" s="22"/>
      <c r="F314" s="22">
        <v>0</v>
      </c>
      <c r="G314" s="22"/>
      <c r="H314" s="22"/>
      <c r="I314" s="22"/>
      <c r="J314" s="85"/>
    </row>
    <row r="315" spans="1:10" ht="11.45" customHeight="1" x14ac:dyDescent="0.25">
      <c r="A315" s="68"/>
      <c r="B315" s="75"/>
      <c r="C315" s="39" t="s">
        <v>15</v>
      </c>
      <c r="D315" s="22">
        <f t="shared" si="17"/>
        <v>37986.080000000002</v>
      </c>
      <c r="E315" s="22"/>
      <c r="F315" s="22">
        <v>37986.080000000002</v>
      </c>
      <c r="G315" s="22"/>
      <c r="H315" s="22"/>
      <c r="I315" s="22"/>
      <c r="J315" s="86"/>
    </row>
    <row r="316" spans="1:10" ht="11.45" customHeight="1" x14ac:dyDescent="0.25">
      <c r="A316" s="66" t="s">
        <v>190</v>
      </c>
      <c r="B316" s="73" t="s">
        <v>10</v>
      </c>
      <c r="C316" s="51" t="s">
        <v>11</v>
      </c>
      <c r="D316" s="22">
        <f t="shared" si="17"/>
        <v>12046</v>
      </c>
      <c r="E316" s="22"/>
      <c r="F316" s="22">
        <f>SUM(F317:F319)</f>
        <v>12046</v>
      </c>
      <c r="G316" s="22"/>
      <c r="H316" s="22"/>
      <c r="I316" s="22"/>
      <c r="J316" s="84" t="s">
        <v>23</v>
      </c>
    </row>
    <row r="317" spans="1:10" ht="11.45" customHeight="1" x14ac:dyDescent="0.25">
      <c r="A317" s="67"/>
      <c r="B317" s="74"/>
      <c r="C317" s="51" t="s">
        <v>13</v>
      </c>
      <c r="D317" s="22">
        <f t="shared" si="17"/>
        <v>0</v>
      </c>
      <c r="E317" s="22"/>
      <c r="F317" s="22">
        <v>0</v>
      </c>
      <c r="G317" s="22"/>
      <c r="H317" s="22"/>
      <c r="I317" s="22"/>
      <c r="J317" s="85"/>
    </row>
    <row r="318" spans="1:10" ht="11.45" customHeight="1" x14ac:dyDescent="0.25">
      <c r="A318" s="67"/>
      <c r="B318" s="74"/>
      <c r="C318" s="51" t="s">
        <v>14</v>
      </c>
      <c r="D318" s="22">
        <f t="shared" si="17"/>
        <v>0</v>
      </c>
      <c r="E318" s="22"/>
      <c r="F318" s="22">
        <v>0</v>
      </c>
      <c r="G318" s="22"/>
      <c r="H318" s="22"/>
      <c r="I318" s="22"/>
      <c r="J318" s="85"/>
    </row>
    <row r="319" spans="1:10" ht="11.45" customHeight="1" x14ac:dyDescent="0.25">
      <c r="A319" s="68"/>
      <c r="B319" s="75"/>
      <c r="C319" s="51" t="s">
        <v>15</v>
      </c>
      <c r="D319" s="22">
        <f t="shared" si="17"/>
        <v>12046</v>
      </c>
      <c r="E319" s="22"/>
      <c r="F319" s="22">
        <v>12046</v>
      </c>
      <c r="G319" s="22"/>
      <c r="H319" s="22"/>
      <c r="I319" s="22"/>
      <c r="J319" s="86"/>
    </row>
    <row r="320" spans="1:10" ht="11.45" customHeight="1" x14ac:dyDescent="0.25">
      <c r="A320" s="66" t="s">
        <v>191</v>
      </c>
      <c r="B320" s="87" t="s">
        <v>10</v>
      </c>
      <c r="C320" s="57" t="s">
        <v>11</v>
      </c>
      <c r="D320" s="22">
        <f t="shared" ref="D320:D339" si="18">SUM(E320:I320)</f>
        <v>536732.43999999994</v>
      </c>
      <c r="E320" s="22"/>
      <c r="F320" s="22">
        <v>536732.43999999994</v>
      </c>
      <c r="G320" s="22"/>
      <c r="H320" s="22"/>
      <c r="I320" s="22"/>
      <c r="J320" s="84" t="s">
        <v>192</v>
      </c>
    </row>
    <row r="321" spans="1:10" ht="11.45" customHeight="1" x14ac:dyDescent="0.25">
      <c r="A321" s="67"/>
      <c r="B321" s="87"/>
      <c r="C321" s="57" t="s">
        <v>13</v>
      </c>
      <c r="D321" s="22">
        <f t="shared" si="18"/>
        <v>0</v>
      </c>
      <c r="E321" s="22"/>
      <c r="F321" s="22">
        <v>0</v>
      </c>
      <c r="G321" s="22"/>
      <c r="H321" s="22"/>
      <c r="I321" s="22"/>
      <c r="J321" s="85"/>
    </row>
    <row r="322" spans="1:10" ht="11.45" customHeight="1" x14ac:dyDescent="0.25">
      <c r="A322" s="67"/>
      <c r="B322" s="87"/>
      <c r="C322" s="57" t="s">
        <v>14</v>
      </c>
      <c r="D322" s="22">
        <f t="shared" si="18"/>
        <v>0</v>
      </c>
      <c r="E322" s="22"/>
      <c r="F322" s="22">
        <v>0</v>
      </c>
      <c r="G322" s="22"/>
      <c r="H322" s="22"/>
      <c r="I322" s="22"/>
      <c r="J322" s="85"/>
    </row>
    <row r="323" spans="1:10" ht="11.45" customHeight="1" x14ac:dyDescent="0.25">
      <c r="A323" s="68"/>
      <c r="B323" s="87"/>
      <c r="C323" s="57" t="s">
        <v>15</v>
      </c>
      <c r="D323" s="22">
        <f t="shared" si="18"/>
        <v>536732.43999999994</v>
      </c>
      <c r="E323" s="22"/>
      <c r="F323" s="22">
        <v>536732.43999999994</v>
      </c>
      <c r="G323" s="22"/>
      <c r="H323" s="22"/>
      <c r="I323" s="22"/>
      <c r="J323" s="86"/>
    </row>
    <row r="324" spans="1:10" ht="11.45" customHeight="1" x14ac:dyDescent="0.25">
      <c r="A324" s="66" t="s">
        <v>201</v>
      </c>
      <c r="B324" s="87" t="s">
        <v>10</v>
      </c>
      <c r="C324" s="57" t="s">
        <v>11</v>
      </c>
      <c r="D324" s="22">
        <f t="shared" si="18"/>
        <v>189314.12</v>
      </c>
      <c r="E324" s="22"/>
      <c r="F324" s="22"/>
      <c r="G324" s="22">
        <f>SUM(G325:G327)</f>
        <v>189314.12</v>
      </c>
      <c r="H324" s="22"/>
      <c r="I324" s="22"/>
      <c r="J324" s="84" t="s">
        <v>192</v>
      </c>
    </row>
    <row r="325" spans="1:10" ht="11.45" customHeight="1" x14ac:dyDescent="0.25">
      <c r="A325" s="67"/>
      <c r="B325" s="87"/>
      <c r="C325" s="57" t="s">
        <v>13</v>
      </c>
      <c r="D325" s="22">
        <f t="shared" si="18"/>
        <v>0</v>
      </c>
      <c r="E325" s="22"/>
      <c r="F325" s="22"/>
      <c r="G325" s="22">
        <v>0</v>
      </c>
      <c r="H325" s="22"/>
      <c r="I325" s="22"/>
      <c r="J325" s="85"/>
    </row>
    <row r="326" spans="1:10" ht="11.45" customHeight="1" x14ac:dyDescent="0.25">
      <c r="A326" s="67"/>
      <c r="B326" s="87"/>
      <c r="C326" s="57" t="s">
        <v>14</v>
      </c>
      <c r="D326" s="22">
        <f t="shared" si="18"/>
        <v>0</v>
      </c>
      <c r="E326" s="22"/>
      <c r="F326" s="22"/>
      <c r="G326" s="22">
        <v>0</v>
      </c>
      <c r="H326" s="22"/>
      <c r="I326" s="22"/>
      <c r="J326" s="85"/>
    </row>
    <row r="327" spans="1:10" ht="16.5" customHeight="1" x14ac:dyDescent="0.25">
      <c r="A327" s="68"/>
      <c r="B327" s="87"/>
      <c r="C327" s="57" t="s">
        <v>15</v>
      </c>
      <c r="D327" s="22">
        <f t="shared" si="18"/>
        <v>189314.12</v>
      </c>
      <c r="E327" s="22"/>
      <c r="F327" s="22"/>
      <c r="G327" s="22">
        <v>189314.12</v>
      </c>
      <c r="H327" s="22"/>
      <c r="I327" s="22"/>
      <c r="J327" s="86"/>
    </row>
    <row r="328" spans="1:10" ht="14.25" customHeight="1" x14ac:dyDescent="0.25">
      <c r="A328" s="66" t="s">
        <v>200</v>
      </c>
      <c r="B328" s="73" t="s">
        <v>10</v>
      </c>
      <c r="C328" s="57" t="s">
        <v>11</v>
      </c>
      <c r="D328" s="22">
        <f t="shared" si="18"/>
        <v>149680.38</v>
      </c>
      <c r="E328" s="22"/>
      <c r="F328" s="22"/>
      <c r="G328" s="22">
        <v>149680.38</v>
      </c>
      <c r="H328" s="22"/>
      <c r="I328" s="22"/>
      <c r="J328" s="84" t="s">
        <v>192</v>
      </c>
    </row>
    <row r="329" spans="1:10" ht="12" customHeight="1" x14ac:dyDescent="0.25">
      <c r="A329" s="67"/>
      <c r="B329" s="74"/>
      <c r="C329" s="57" t="s">
        <v>13</v>
      </c>
      <c r="D329" s="22">
        <f t="shared" si="18"/>
        <v>0</v>
      </c>
      <c r="E329" s="22"/>
      <c r="F329" s="22"/>
      <c r="G329" s="22">
        <v>0</v>
      </c>
      <c r="H329" s="22"/>
      <c r="I329" s="22"/>
      <c r="J329" s="85"/>
    </row>
    <row r="330" spans="1:10" ht="13.5" customHeight="1" x14ac:dyDescent="0.25">
      <c r="A330" s="67"/>
      <c r="B330" s="74"/>
      <c r="C330" s="57" t="s">
        <v>14</v>
      </c>
      <c r="D330" s="22">
        <f t="shared" si="18"/>
        <v>0</v>
      </c>
      <c r="E330" s="22"/>
      <c r="F330" s="22"/>
      <c r="G330" s="22">
        <v>0</v>
      </c>
      <c r="H330" s="22"/>
      <c r="I330" s="22"/>
      <c r="J330" s="85"/>
    </row>
    <row r="331" spans="1:10" ht="11.25" customHeight="1" x14ac:dyDescent="0.25">
      <c r="A331" s="68"/>
      <c r="B331" s="75"/>
      <c r="C331" s="57" t="s">
        <v>15</v>
      </c>
      <c r="D331" s="22">
        <f t="shared" si="18"/>
        <v>149680.38</v>
      </c>
      <c r="E331" s="22"/>
      <c r="F331" s="22"/>
      <c r="G331" s="22">
        <v>149680.38</v>
      </c>
      <c r="H331" s="22"/>
      <c r="I331" s="22"/>
      <c r="J331" s="86"/>
    </row>
    <row r="332" spans="1:10" ht="16.5" customHeight="1" x14ac:dyDescent="0.25">
      <c r="A332" s="66" t="s">
        <v>209</v>
      </c>
      <c r="B332" s="73" t="s">
        <v>10</v>
      </c>
      <c r="C332" s="57" t="s">
        <v>11</v>
      </c>
      <c r="D332" s="22">
        <f t="shared" si="18"/>
        <v>108612.06</v>
      </c>
      <c r="E332" s="22"/>
      <c r="F332" s="22"/>
      <c r="G332" s="22">
        <f>SUM(G333:G335)</f>
        <v>108612.06</v>
      </c>
      <c r="H332" s="22"/>
      <c r="I332" s="22"/>
      <c r="J332" s="84" t="s">
        <v>230</v>
      </c>
    </row>
    <row r="333" spans="1:10" ht="16.5" customHeight="1" x14ac:dyDescent="0.25">
      <c r="A333" s="67"/>
      <c r="B333" s="74"/>
      <c r="C333" s="57" t="s">
        <v>13</v>
      </c>
      <c r="D333" s="22">
        <f t="shared" si="18"/>
        <v>0</v>
      </c>
      <c r="E333" s="22"/>
      <c r="F333" s="22"/>
      <c r="G333" s="22">
        <v>0</v>
      </c>
      <c r="H333" s="22"/>
      <c r="I333" s="22"/>
      <c r="J333" s="85"/>
    </row>
    <row r="334" spans="1:10" ht="16.5" customHeight="1" x14ac:dyDescent="0.25">
      <c r="A334" s="67"/>
      <c r="B334" s="74"/>
      <c r="C334" s="57" t="s">
        <v>14</v>
      </c>
      <c r="D334" s="22">
        <f t="shared" si="18"/>
        <v>0</v>
      </c>
      <c r="E334" s="22"/>
      <c r="F334" s="22"/>
      <c r="G334" s="22">
        <v>0</v>
      </c>
      <c r="H334" s="22"/>
      <c r="I334" s="22"/>
      <c r="J334" s="85"/>
    </row>
    <row r="335" spans="1:10" ht="16.5" customHeight="1" x14ac:dyDescent="0.25">
      <c r="A335" s="68"/>
      <c r="B335" s="75"/>
      <c r="C335" s="57" t="s">
        <v>15</v>
      </c>
      <c r="D335" s="22">
        <f t="shared" si="18"/>
        <v>108612.06</v>
      </c>
      <c r="E335" s="22"/>
      <c r="F335" s="22"/>
      <c r="G335" s="22">
        <v>108612.06</v>
      </c>
      <c r="H335" s="22"/>
      <c r="I335" s="22"/>
      <c r="J335" s="86"/>
    </row>
    <row r="336" spans="1:10" ht="11.45" customHeight="1" x14ac:dyDescent="0.25">
      <c r="A336" s="66" t="s">
        <v>210</v>
      </c>
      <c r="B336" s="73" t="s">
        <v>10</v>
      </c>
      <c r="C336" s="57" t="s">
        <v>11</v>
      </c>
      <c r="D336" s="22">
        <f t="shared" si="18"/>
        <v>20376.54</v>
      </c>
      <c r="E336" s="22"/>
      <c r="F336" s="22"/>
      <c r="G336" s="22">
        <f>SUM(G337:G339)</f>
        <v>20376.54</v>
      </c>
      <c r="H336" s="22"/>
      <c r="I336" s="22"/>
      <c r="J336" s="84" t="s">
        <v>229</v>
      </c>
    </row>
    <row r="337" spans="1:13" ht="11.45" customHeight="1" x14ac:dyDescent="0.25">
      <c r="A337" s="67"/>
      <c r="B337" s="74"/>
      <c r="C337" s="57" t="s">
        <v>13</v>
      </c>
      <c r="D337" s="22">
        <f t="shared" si="18"/>
        <v>0</v>
      </c>
      <c r="E337" s="22"/>
      <c r="F337" s="22"/>
      <c r="G337" s="22">
        <v>0</v>
      </c>
      <c r="H337" s="22"/>
      <c r="I337" s="22"/>
      <c r="J337" s="85"/>
    </row>
    <row r="338" spans="1:13" ht="11.45" customHeight="1" x14ac:dyDescent="0.25">
      <c r="A338" s="67"/>
      <c r="B338" s="74"/>
      <c r="C338" s="57" t="s">
        <v>14</v>
      </c>
      <c r="D338" s="22">
        <f t="shared" si="18"/>
        <v>0</v>
      </c>
      <c r="E338" s="22"/>
      <c r="F338" s="22"/>
      <c r="G338" s="22">
        <v>0</v>
      </c>
      <c r="H338" s="22"/>
      <c r="I338" s="22"/>
      <c r="J338" s="85"/>
    </row>
    <row r="339" spans="1:13" ht="11.45" customHeight="1" x14ac:dyDescent="0.25">
      <c r="A339" s="68"/>
      <c r="B339" s="75"/>
      <c r="C339" s="57" t="s">
        <v>15</v>
      </c>
      <c r="D339" s="22">
        <f t="shared" si="18"/>
        <v>20376.54</v>
      </c>
      <c r="E339" s="22"/>
      <c r="F339" s="22"/>
      <c r="G339" s="22">
        <v>20376.54</v>
      </c>
      <c r="H339" s="22"/>
      <c r="I339" s="22"/>
      <c r="J339" s="86"/>
    </row>
    <row r="340" spans="1:13" x14ac:dyDescent="0.25">
      <c r="A340" s="65" t="s">
        <v>138</v>
      </c>
      <c r="B340" s="65"/>
      <c r="C340" s="65"/>
      <c r="D340" s="22">
        <f>SUM(D341:D343)</f>
        <v>434160611.36000001</v>
      </c>
      <c r="E340" s="22">
        <f>SUM(E341:E343)</f>
        <v>143558409.13</v>
      </c>
      <c r="F340" s="22">
        <f>SUM(F341:F343)</f>
        <v>97601079.269999981</v>
      </c>
      <c r="G340" s="22">
        <f t="shared" ref="G340:I340" si="19">SUM(G341:G343)</f>
        <v>82334686.780000001</v>
      </c>
      <c r="H340" s="22">
        <f>SUM(H341:H343)</f>
        <v>56366219.510000005</v>
      </c>
      <c r="I340" s="22">
        <f t="shared" si="19"/>
        <v>54300216.670000002</v>
      </c>
      <c r="J340" s="6"/>
      <c r="L340" s="17"/>
      <c r="M340" s="17"/>
    </row>
    <row r="341" spans="1:13" x14ac:dyDescent="0.25">
      <c r="A341" s="65" t="s">
        <v>13</v>
      </c>
      <c r="B341" s="65"/>
      <c r="C341" s="65"/>
      <c r="D341" s="22">
        <f>SUM(E341:I341)</f>
        <v>0</v>
      </c>
      <c r="E341" s="22">
        <f>E20</f>
        <v>0</v>
      </c>
      <c r="F341" s="22">
        <f>F20</f>
        <v>0</v>
      </c>
      <c r="G341" s="22">
        <f>G20</f>
        <v>0</v>
      </c>
      <c r="H341" s="22">
        <f>H20</f>
        <v>0</v>
      </c>
      <c r="I341" s="22">
        <f>I20</f>
        <v>0</v>
      </c>
      <c r="J341" s="6"/>
    </row>
    <row r="342" spans="1:13" x14ac:dyDescent="0.25">
      <c r="A342" s="65" t="s">
        <v>14</v>
      </c>
      <c r="B342" s="65"/>
      <c r="C342" s="65"/>
      <c r="D342" s="22">
        <f>SUM(E342:I342)</f>
        <v>78543845.820000008</v>
      </c>
      <c r="E342" s="22">
        <f>E21+E90+E242</f>
        <v>74982276.930000007</v>
      </c>
      <c r="F342" s="22">
        <f>F17+F21+F58+F90+F102+F142+F174+F178+F198+F242+F310+F314</f>
        <v>3561568.89</v>
      </c>
      <c r="G342" s="22">
        <f>G21</f>
        <v>0</v>
      </c>
      <c r="H342" s="22">
        <f>H21</f>
        <v>0</v>
      </c>
      <c r="I342" s="22">
        <f>I21</f>
        <v>0</v>
      </c>
      <c r="J342" s="3"/>
    </row>
    <row r="343" spans="1:13" x14ac:dyDescent="0.25">
      <c r="A343" s="65" t="s">
        <v>15</v>
      </c>
      <c r="B343" s="65"/>
      <c r="C343" s="65"/>
      <c r="D343" s="22">
        <f>SUM(E343:I343)</f>
        <v>355616765.54000002</v>
      </c>
      <c r="E343" s="22">
        <f>E18+E22+E91+E175+E179+E199+E243+E295+E299+E303+E307</f>
        <v>68576132.199999988</v>
      </c>
      <c r="F343" s="22">
        <f>F18+F22+F59+F91+F103+F143+F175+F179+F199+F243+F311+F315+F319+F323</f>
        <v>94039510.37999998</v>
      </c>
      <c r="G343" s="22">
        <f>G18+G22+G175+G179+G199+G339+G331+G327+G275+G59+G279+G335</f>
        <v>82334686.780000001</v>
      </c>
      <c r="H343" s="22">
        <f>H18+H59+H103+H143+H175+H179+H199+H227+H231+H235+H239+H22</f>
        <v>56366219.510000005</v>
      </c>
      <c r="I343" s="22">
        <f>I18+I59+I103+I143+I175+I179+I199+I227+I231+I235+I239+I22</f>
        <v>54300216.670000002</v>
      </c>
      <c r="J343" s="6"/>
    </row>
    <row r="344" spans="1:13" x14ac:dyDescent="0.25">
      <c r="A344" s="83" t="s">
        <v>142</v>
      </c>
      <c r="B344" s="83"/>
      <c r="C344" s="83"/>
      <c r="D344" s="83"/>
      <c r="E344" s="83"/>
      <c r="F344" s="83"/>
      <c r="G344" s="83"/>
      <c r="H344" s="83"/>
      <c r="I344" s="83"/>
      <c r="J344" s="83"/>
    </row>
    <row r="345" spans="1:13" ht="11.45" customHeight="1" x14ac:dyDescent="0.25">
      <c r="A345" s="66" t="s">
        <v>38</v>
      </c>
      <c r="B345" s="73" t="s">
        <v>39</v>
      </c>
      <c r="C345" s="24" t="s">
        <v>11</v>
      </c>
      <c r="D345" s="22">
        <f t="shared" ref="D345:D360" si="20">SUM(E345:I345)</f>
        <v>39529839.82</v>
      </c>
      <c r="E345" s="22">
        <f>SUM(E346:E348)</f>
        <v>6573116.9400000004</v>
      </c>
      <c r="F345" s="22">
        <f>SUM(F346:F348)</f>
        <v>7197670.6400000006</v>
      </c>
      <c r="G345" s="22">
        <f>SUM(G346:G348)</f>
        <v>8559052.2400000002</v>
      </c>
      <c r="H345" s="22">
        <f>SUM(H346:H348)</f>
        <v>8600000</v>
      </c>
      <c r="I345" s="22">
        <f>SUM(I346:I348)</f>
        <v>8600000</v>
      </c>
      <c r="J345" s="84" t="s">
        <v>40</v>
      </c>
    </row>
    <row r="346" spans="1:13" ht="12" customHeight="1" x14ac:dyDescent="0.25">
      <c r="A346" s="67"/>
      <c r="B346" s="74"/>
      <c r="C346" s="24" t="s">
        <v>13</v>
      </c>
      <c r="D346" s="22">
        <f t="shared" si="20"/>
        <v>0</v>
      </c>
      <c r="E346" s="22">
        <v>0</v>
      </c>
      <c r="F346" s="22">
        <v>0</v>
      </c>
      <c r="G346" s="22">
        <v>0</v>
      </c>
      <c r="H346" s="22">
        <v>0</v>
      </c>
      <c r="I346" s="22">
        <v>0</v>
      </c>
      <c r="J346" s="85"/>
    </row>
    <row r="347" spans="1:13" ht="12" customHeight="1" x14ac:dyDescent="0.25">
      <c r="A347" s="67"/>
      <c r="B347" s="74"/>
      <c r="C347" s="24" t="s">
        <v>14</v>
      </c>
      <c r="D347" s="22">
        <f t="shared" si="20"/>
        <v>0</v>
      </c>
      <c r="E347" s="22">
        <v>0</v>
      </c>
      <c r="F347" s="22">
        <v>0</v>
      </c>
      <c r="G347" s="22">
        <v>0</v>
      </c>
      <c r="H347" s="22">
        <v>0</v>
      </c>
      <c r="I347" s="22">
        <v>0</v>
      </c>
      <c r="J347" s="85"/>
    </row>
    <row r="348" spans="1:13" ht="12.6" customHeight="1" x14ac:dyDescent="0.25">
      <c r="A348" s="68"/>
      <c r="B348" s="75"/>
      <c r="C348" s="24" t="s">
        <v>15</v>
      </c>
      <c r="D348" s="22">
        <f t="shared" si="20"/>
        <v>39529839.82</v>
      </c>
      <c r="E348" s="22">
        <v>6573116.9400000004</v>
      </c>
      <c r="F348" s="22">
        <f>7158000+39706.44-35.8</f>
        <v>7197670.6400000006</v>
      </c>
      <c r="G348" s="22">
        <v>8559052.2400000002</v>
      </c>
      <c r="H348" s="22">
        <v>8600000</v>
      </c>
      <c r="I348" s="22">
        <v>8600000</v>
      </c>
      <c r="J348" s="86"/>
    </row>
    <row r="349" spans="1:13" ht="13.15" customHeight="1" x14ac:dyDescent="0.25">
      <c r="A349" s="66" t="s">
        <v>41</v>
      </c>
      <c r="B349" s="73" t="s">
        <v>10</v>
      </c>
      <c r="C349" s="24" t="s">
        <v>11</v>
      </c>
      <c r="D349" s="22">
        <f t="shared" si="20"/>
        <v>267603.14</v>
      </c>
      <c r="E349" s="22">
        <v>67603.14</v>
      </c>
      <c r="F349" s="22">
        <f>SUM(F350:F352)</f>
        <v>50000</v>
      </c>
      <c r="G349" s="22">
        <f t="shared" ref="G349:I349" si="21">SUM(G350:G352)</f>
        <v>50000</v>
      </c>
      <c r="H349" s="22">
        <f t="shared" si="21"/>
        <v>50000</v>
      </c>
      <c r="I349" s="22">
        <f t="shared" si="21"/>
        <v>50000</v>
      </c>
      <c r="J349" s="84" t="s">
        <v>42</v>
      </c>
    </row>
    <row r="350" spans="1:13" ht="13.15" customHeight="1" x14ac:dyDescent="0.25">
      <c r="A350" s="67"/>
      <c r="B350" s="74"/>
      <c r="C350" s="24" t="s">
        <v>13</v>
      </c>
      <c r="D350" s="22">
        <f t="shared" si="20"/>
        <v>0</v>
      </c>
      <c r="E350" s="22">
        <v>0</v>
      </c>
      <c r="F350" s="22">
        <v>0</v>
      </c>
      <c r="G350" s="22">
        <v>0</v>
      </c>
      <c r="H350" s="22">
        <v>0</v>
      </c>
      <c r="I350" s="22">
        <v>0</v>
      </c>
      <c r="J350" s="85"/>
    </row>
    <row r="351" spans="1:13" ht="12" customHeight="1" x14ac:dyDescent="0.25">
      <c r="A351" s="67"/>
      <c r="B351" s="74"/>
      <c r="C351" s="24" t="s">
        <v>14</v>
      </c>
      <c r="D351" s="22">
        <f t="shared" si="20"/>
        <v>0</v>
      </c>
      <c r="E351" s="22">
        <v>0</v>
      </c>
      <c r="F351" s="22">
        <v>0</v>
      </c>
      <c r="G351" s="22">
        <v>0</v>
      </c>
      <c r="H351" s="22">
        <v>0</v>
      </c>
      <c r="I351" s="22">
        <v>0</v>
      </c>
      <c r="J351" s="85"/>
    </row>
    <row r="352" spans="1:13" ht="12.6" customHeight="1" x14ac:dyDescent="0.25">
      <c r="A352" s="68"/>
      <c r="B352" s="75"/>
      <c r="C352" s="24" t="s">
        <v>15</v>
      </c>
      <c r="D352" s="22">
        <f t="shared" si="20"/>
        <v>267603.14</v>
      </c>
      <c r="E352" s="22">
        <v>67603.14</v>
      </c>
      <c r="F352" s="22">
        <v>50000</v>
      </c>
      <c r="G352" s="22">
        <v>50000</v>
      </c>
      <c r="H352" s="22">
        <v>50000</v>
      </c>
      <c r="I352" s="22">
        <v>50000</v>
      </c>
      <c r="J352" s="86"/>
    </row>
    <row r="353" spans="1:10" ht="11.45" customHeight="1" x14ac:dyDescent="0.25">
      <c r="A353" s="66" t="s">
        <v>43</v>
      </c>
      <c r="B353" s="73" t="s">
        <v>39</v>
      </c>
      <c r="C353" s="24" t="s">
        <v>11</v>
      </c>
      <c r="D353" s="22">
        <f t="shared" si="20"/>
        <v>796971.41</v>
      </c>
      <c r="E353" s="22">
        <v>93622.58</v>
      </c>
      <c r="F353" s="22">
        <f>SUM(F354:F356)</f>
        <v>98771.82</v>
      </c>
      <c r="G353" s="22">
        <f>SUM(G354:G356)</f>
        <v>384657.42</v>
      </c>
      <c r="H353" s="22">
        <f>SUM(H354:H356)</f>
        <v>107803.72</v>
      </c>
      <c r="I353" s="22">
        <f>SUM(I354:I356)</f>
        <v>112115.87</v>
      </c>
      <c r="J353" s="84" t="s">
        <v>44</v>
      </c>
    </row>
    <row r="354" spans="1:10" ht="12.6" customHeight="1" x14ac:dyDescent="0.25">
      <c r="A354" s="67"/>
      <c r="B354" s="74"/>
      <c r="C354" s="24" t="s">
        <v>13</v>
      </c>
      <c r="D354" s="22">
        <f t="shared" si="20"/>
        <v>0</v>
      </c>
      <c r="E354" s="22">
        <v>0</v>
      </c>
      <c r="F354" s="22">
        <v>0</v>
      </c>
      <c r="G354" s="22">
        <v>0</v>
      </c>
      <c r="H354" s="22">
        <v>0</v>
      </c>
      <c r="I354" s="22">
        <v>0</v>
      </c>
      <c r="J354" s="85"/>
    </row>
    <row r="355" spans="1:10" ht="12" customHeight="1" x14ac:dyDescent="0.25">
      <c r="A355" s="67"/>
      <c r="B355" s="74"/>
      <c r="C355" s="24" t="s">
        <v>14</v>
      </c>
      <c r="D355" s="22">
        <f t="shared" si="20"/>
        <v>0</v>
      </c>
      <c r="E355" s="22">
        <v>0</v>
      </c>
      <c r="F355" s="22">
        <v>0</v>
      </c>
      <c r="G355" s="22">
        <v>0</v>
      </c>
      <c r="H355" s="22">
        <v>0</v>
      </c>
      <c r="I355" s="22">
        <v>0</v>
      </c>
      <c r="J355" s="85"/>
    </row>
    <row r="356" spans="1:10" ht="12.6" customHeight="1" x14ac:dyDescent="0.25">
      <c r="A356" s="68"/>
      <c r="B356" s="75"/>
      <c r="C356" s="24" t="s">
        <v>15</v>
      </c>
      <c r="D356" s="22">
        <f t="shared" si="20"/>
        <v>796971.41</v>
      </c>
      <c r="E356" s="22">
        <v>93622.58</v>
      </c>
      <c r="F356" s="22">
        <v>98771.82</v>
      </c>
      <c r="G356" s="22">
        <v>384657.42</v>
      </c>
      <c r="H356" s="22">
        <v>107803.72</v>
      </c>
      <c r="I356" s="22">
        <v>112115.87</v>
      </c>
      <c r="J356" s="86"/>
    </row>
    <row r="357" spans="1:10" ht="12" customHeight="1" x14ac:dyDescent="0.25">
      <c r="A357" s="66" t="s">
        <v>211</v>
      </c>
      <c r="B357" s="73" t="s">
        <v>10</v>
      </c>
      <c r="C357" s="24" t="s">
        <v>11</v>
      </c>
      <c r="D357" s="22">
        <f t="shared" si="20"/>
        <v>388980.59</v>
      </c>
      <c r="E357" s="22"/>
      <c r="F357" s="22"/>
      <c r="G357" s="22">
        <f>SUM(G358:G360)</f>
        <v>388980.59</v>
      </c>
      <c r="H357" s="22"/>
      <c r="I357" s="22"/>
      <c r="J357" s="84" t="s">
        <v>69</v>
      </c>
    </row>
    <row r="358" spans="1:10" ht="13.9" customHeight="1" x14ac:dyDescent="0.25">
      <c r="A358" s="67"/>
      <c r="B358" s="74"/>
      <c r="C358" s="24" t="s">
        <v>13</v>
      </c>
      <c r="D358" s="22">
        <f t="shared" si="20"/>
        <v>0</v>
      </c>
      <c r="E358" s="22"/>
      <c r="F358" s="22"/>
      <c r="G358" s="22">
        <v>0</v>
      </c>
      <c r="H358" s="22"/>
      <c r="I358" s="22"/>
      <c r="J358" s="85"/>
    </row>
    <row r="359" spans="1:10" ht="12.6" customHeight="1" x14ac:dyDescent="0.25">
      <c r="A359" s="67"/>
      <c r="B359" s="74"/>
      <c r="C359" s="24" t="s">
        <v>14</v>
      </c>
      <c r="D359" s="22">
        <f t="shared" si="20"/>
        <v>0</v>
      </c>
      <c r="E359" s="22"/>
      <c r="F359" s="22"/>
      <c r="G359" s="22">
        <v>0</v>
      </c>
      <c r="H359" s="22"/>
      <c r="I359" s="22"/>
      <c r="J359" s="85"/>
    </row>
    <row r="360" spans="1:10" ht="12" customHeight="1" x14ac:dyDescent="0.25">
      <c r="A360" s="68"/>
      <c r="B360" s="75"/>
      <c r="C360" s="24" t="s">
        <v>15</v>
      </c>
      <c r="D360" s="22">
        <f t="shared" si="20"/>
        <v>388980.59</v>
      </c>
      <c r="E360" s="22"/>
      <c r="F360" s="22"/>
      <c r="G360" s="22">
        <f>G364+G368+G372+G376+G380</f>
        <v>388980.59</v>
      </c>
      <c r="H360" s="22"/>
      <c r="I360" s="22"/>
      <c r="J360" s="85"/>
    </row>
    <row r="361" spans="1:10" ht="12" customHeight="1" x14ac:dyDescent="0.25">
      <c r="A361" s="76" t="s">
        <v>212</v>
      </c>
      <c r="B361" s="73" t="s">
        <v>10</v>
      </c>
      <c r="C361" s="57" t="s">
        <v>11</v>
      </c>
      <c r="D361" s="22">
        <f t="shared" ref="D361:D380" si="22">SUM(E361:I361)</f>
        <v>34414.300000000003</v>
      </c>
      <c r="E361" s="22"/>
      <c r="F361" s="22"/>
      <c r="G361" s="23">
        <f>SUM(G362:G364)</f>
        <v>34414.300000000003</v>
      </c>
      <c r="H361" s="22"/>
      <c r="I361" s="22"/>
      <c r="J361" s="85"/>
    </row>
    <row r="362" spans="1:10" ht="12" customHeight="1" x14ac:dyDescent="0.25">
      <c r="A362" s="77"/>
      <c r="B362" s="74"/>
      <c r="C362" s="57" t="s">
        <v>13</v>
      </c>
      <c r="D362" s="22">
        <f t="shared" si="22"/>
        <v>0</v>
      </c>
      <c r="E362" s="22"/>
      <c r="F362" s="22"/>
      <c r="G362" s="23">
        <v>0</v>
      </c>
      <c r="H362" s="22"/>
      <c r="I362" s="22"/>
      <c r="J362" s="85"/>
    </row>
    <row r="363" spans="1:10" ht="12" customHeight="1" x14ac:dyDescent="0.25">
      <c r="A363" s="77"/>
      <c r="B363" s="74"/>
      <c r="C363" s="57" t="s">
        <v>14</v>
      </c>
      <c r="D363" s="22">
        <f t="shared" si="22"/>
        <v>0</v>
      </c>
      <c r="E363" s="22"/>
      <c r="F363" s="22"/>
      <c r="G363" s="23">
        <v>0</v>
      </c>
      <c r="H363" s="22"/>
      <c r="I363" s="22"/>
      <c r="J363" s="85"/>
    </row>
    <row r="364" spans="1:10" ht="12" customHeight="1" x14ac:dyDescent="0.25">
      <c r="A364" s="78"/>
      <c r="B364" s="75"/>
      <c r="C364" s="57" t="s">
        <v>15</v>
      </c>
      <c r="D364" s="22">
        <f t="shared" si="22"/>
        <v>34414.300000000003</v>
      </c>
      <c r="E364" s="22"/>
      <c r="F364" s="22"/>
      <c r="G364" s="23">
        <v>34414.300000000003</v>
      </c>
      <c r="H364" s="22"/>
      <c r="I364" s="22"/>
      <c r="J364" s="85"/>
    </row>
    <row r="365" spans="1:10" ht="12" customHeight="1" x14ac:dyDescent="0.25">
      <c r="A365" s="76" t="s">
        <v>213</v>
      </c>
      <c r="B365" s="73" t="s">
        <v>10</v>
      </c>
      <c r="C365" s="57" t="s">
        <v>11</v>
      </c>
      <c r="D365" s="22">
        <f t="shared" si="22"/>
        <v>83660.94</v>
      </c>
      <c r="E365" s="22"/>
      <c r="F365" s="22"/>
      <c r="G365" s="23">
        <f>SUM(G366:G368)</f>
        <v>83660.94</v>
      </c>
      <c r="H365" s="22"/>
      <c r="I365" s="22"/>
      <c r="J365" s="85"/>
    </row>
    <row r="366" spans="1:10" ht="12" customHeight="1" x14ac:dyDescent="0.25">
      <c r="A366" s="77"/>
      <c r="B366" s="74"/>
      <c r="C366" s="57" t="s">
        <v>13</v>
      </c>
      <c r="D366" s="22">
        <f t="shared" si="22"/>
        <v>0</v>
      </c>
      <c r="E366" s="22"/>
      <c r="F366" s="22"/>
      <c r="G366" s="23">
        <v>0</v>
      </c>
      <c r="H366" s="22"/>
      <c r="I366" s="22"/>
      <c r="J366" s="85"/>
    </row>
    <row r="367" spans="1:10" ht="12" customHeight="1" x14ac:dyDescent="0.25">
      <c r="A367" s="77"/>
      <c r="B367" s="74"/>
      <c r="C367" s="57" t="s">
        <v>14</v>
      </c>
      <c r="D367" s="22">
        <f t="shared" si="22"/>
        <v>0</v>
      </c>
      <c r="E367" s="22"/>
      <c r="F367" s="22"/>
      <c r="G367" s="23">
        <v>0</v>
      </c>
      <c r="H367" s="22"/>
      <c r="I367" s="22"/>
      <c r="J367" s="85"/>
    </row>
    <row r="368" spans="1:10" ht="12" customHeight="1" x14ac:dyDescent="0.25">
      <c r="A368" s="78"/>
      <c r="B368" s="75"/>
      <c r="C368" s="57" t="s">
        <v>15</v>
      </c>
      <c r="D368" s="22">
        <f t="shared" si="22"/>
        <v>83660.94</v>
      </c>
      <c r="E368" s="22"/>
      <c r="F368" s="22"/>
      <c r="G368" s="23">
        <v>83660.94</v>
      </c>
      <c r="H368" s="22"/>
      <c r="I368" s="22"/>
      <c r="J368" s="85"/>
    </row>
    <row r="369" spans="1:10" ht="12" customHeight="1" x14ac:dyDescent="0.25">
      <c r="A369" s="76" t="s">
        <v>214</v>
      </c>
      <c r="B369" s="73" t="s">
        <v>10</v>
      </c>
      <c r="C369" s="57" t="s">
        <v>11</v>
      </c>
      <c r="D369" s="22">
        <f t="shared" si="22"/>
        <v>121549.11</v>
      </c>
      <c r="E369" s="22"/>
      <c r="F369" s="22"/>
      <c r="G369" s="23">
        <f>SUM(G370:G372)</f>
        <v>121549.11</v>
      </c>
      <c r="H369" s="22"/>
      <c r="I369" s="22"/>
      <c r="J369" s="85"/>
    </row>
    <row r="370" spans="1:10" ht="12" customHeight="1" x14ac:dyDescent="0.25">
      <c r="A370" s="77"/>
      <c r="B370" s="74"/>
      <c r="C370" s="57" t="s">
        <v>13</v>
      </c>
      <c r="D370" s="22">
        <f t="shared" si="22"/>
        <v>0</v>
      </c>
      <c r="E370" s="22"/>
      <c r="F370" s="22"/>
      <c r="G370" s="23">
        <v>0</v>
      </c>
      <c r="H370" s="22"/>
      <c r="I370" s="22"/>
      <c r="J370" s="85"/>
    </row>
    <row r="371" spans="1:10" ht="12" customHeight="1" x14ac:dyDescent="0.25">
      <c r="A371" s="77"/>
      <c r="B371" s="74"/>
      <c r="C371" s="57" t="s">
        <v>14</v>
      </c>
      <c r="D371" s="22">
        <f t="shared" si="22"/>
        <v>0</v>
      </c>
      <c r="E371" s="22"/>
      <c r="F371" s="22"/>
      <c r="G371" s="23">
        <v>0</v>
      </c>
      <c r="H371" s="22"/>
      <c r="I371" s="22"/>
      <c r="J371" s="85"/>
    </row>
    <row r="372" spans="1:10" ht="12" customHeight="1" x14ac:dyDescent="0.25">
      <c r="A372" s="78"/>
      <c r="B372" s="75"/>
      <c r="C372" s="57" t="s">
        <v>15</v>
      </c>
      <c r="D372" s="22">
        <f t="shared" si="22"/>
        <v>121549.11</v>
      </c>
      <c r="E372" s="22"/>
      <c r="F372" s="22"/>
      <c r="G372" s="23">
        <v>121549.11</v>
      </c>
      <c r="H372" s="22"/>
      <c r="I372" s="22"/>
      <c r="J372" s="85"/>
    </row>
    <row r="373" spans="1:10" ht="12" customHeight="1" x14ac:dyDescent="0.25">
      <c r="A373" s="76" t="s">
        <v>215</v>
      </c>
      <c r="B373" s="73" t="s">
        <v>10</v>
      </c>
      <c r="C373" s="57" t="s">
        <v>11</v>
      </c>
      <c r="D373" s="22">
        <f t="shared" si="22"/>
        <v>83660.94</v>
      </c>
      <c r="E373" s="22"/>
      <c r="F373" s="22"/>
      <c r="G373" s="23">
        <f>SUM(G374:G376)</f>
        <v>83660.94</v>
      </c>
      <c r="H373" s="22"/>
      <c r="I373" s="22"/>
      <c r="J373" s="85"/>
    </row>
    <row r="374" spans="1:10" ht="12" customHeight="1" x14ac:dyDescent="0.25">
      <c r="A374" s="77"/>
      <c r="B374" s="74"/>
      <c r="C374" s="57" t="s">
        <v>13</v>
      </c>
      <c r="D374" s="22">
        <f t="shared" si="22"/>
        <v>0</v>
      </c>
      <c r="E374" s="22"/>
      <c r="F374" s="22"/>
      <c r="G374" s="23">
        <v>0</v>
      </c>
      <c r="H374" s="22"/>
      <c r="I374" s="22"/>
      <c r="J374" s="85"/>
    </row>
    <row r="375" spans="1:10" ht="12" customHeight="1" x14ac:dyDescent="0.25">
      <c r="A375" s="77"/>
      <c r="B375" s="74"/>
      <c r="C375" s="57" t="s">
        <v>14</v>
      </c>
      <c r="D375" s="22">
        <f t="shared" si="22"/>
        <v>0</v>
      </c>
      <c r="E375" s="22"/>
      <c r="F375" s="22"/>
      <c r="G375" s="23">
        <v>0</v>
      </c>
      <c r="H375" s="22"/>
      <c r="I375" s="22"/>
      <c r="J375" s="85"/>
    </row>
    <row r="376" spans="1:10" ht="12" customHeight="1" x14ac:dyDescent="0.25">
      <c r="A376" s="78"/>
      <c r="B376" s="75"/>
      <c r="C376" s="57" t="s">
        <v>15</v>
      </c>
      <c r="D376" s="22">
        <f t="shared" si="22"/>
        <v>83660.94</v>
      </c>
      <c r="E376" s="22"/>
      <c r="F376" s="22"/>
      <c r="G376" s="23">
        <v>83660.94</v>
      </c>
      <c r="H376" s="22"/>
      <c r="I376" s="22"/>
      <c r="J376" s="85"/>
    </row>
    <row r="377" spans="1:10" ht="12" customHeight="1" x14ac:dyDescent="0.25">
      <c r="A377" s="76" t="s">
        <v>216</v>
      </c>
      <c r="B377" s="73" t="s">
        <v>10</v>
      </c>
      <c r="C377" s="57" t="s">
        <v>11</v>
      </c>
      <c r="D377" s="22">
        <f t="shared" si="22"/>
        <v>65695.3</v>
      </c>
      <c r="E377" s="22"/>
      <c r="F377" s="22"/>
      <c r="G377" s="23">
        <f>SUM(G378:G380)</f>
        <v>65695.3</v>
      </c>
      <c r="H377" s="22"/>
      <c r="I377" s="22"/>
      <c r="J377" s="85"/>
    </row>
    <row r="378" spans="1:10" ht="12" customHeight="1" x14ac:dyDescent="0.25">
      <c r="A378" s="67"/>
      <c r="B378" s="74"/>
      <c r="C378" s="57" t="s">
        <v>13</v>
      </c>
      <c r="D378" s="22">
        <f t="shared" si="22"/>
        <v>0</v>
      </c>
      <c r="E378" s="22"/>
      <c r="F378" s="22"/>
      <c r="G378" s="23">
        <v>0</v>
      </c>
      <c r="H378" s="22"/>
      <c r="I378" s="22"/>
      <c r="J378" s="85"/>
    </row>
    <row r="379" spans="1:10" ht="12" customHeight="1" x14ac:dyDescent="0.25">
      <c r="A379" s="67"/>
      <c r="B379" s="74"/>
      <c r="C379" s="57" t="s">
        <v>14</v>
      </c>
      <c r="D379" s="22">
        <f t="shared" si="22"/>
        <v>0</v>
      </c>
      <c r="E379" s="22"/>
      <c r="F379" s="22"/>
      <c r="G379" s="23">
        <v>0</v>
      </c>
      <c r="H379" s="22"/>
      <c r="I379" s="22"/>
      <c r="J379" s="85"/>
    </row>
    <row r="380" spans="1:10" ht="12" customHeight="1" x14ac:dyDescent="0.25">
      <c r="A380" s="68"/>
      <c r="B380" s="75"/>
      <c r="C380" s="57" t="s">
        <v>15</v>
      </c>
      <c r="D380" s="22">
        <f t="shared" si="22"/>
        <v>65695.3</v>
      </c>
      <c r="E380" s="22"/>
      <c r="F380" s="22"/>
      <c r="G380" s="23">
        <v>65695.3</v>
      </c>
      <c r="H380" s="22"/>
      <c r="I380" s="22"/>
      <c r="J380" s="86"/>
    </row>
    <row r="381" spans="1:10" ht="13.15" customHeight="1" x14ac:dyDescent="0.25">
      <c r="A381" s="66" t="s">
        <v>45</v>
      </c>
      <c r="B381" s="73" t="s">
        <v>139</v>
      </c>
      <c r="C381" s="24" t="s">
        <v>11</v>
      </c>
      <c r="D381" s="22">
        <f t="shared" ref="D381:D444" si="23">SUM(E381:I381)</f>
        <v>11845640</v>
      </c>
      <c r="E381" s="22">
        <f>SUM(E382:E384)</f>
        <v>7800000</v>
      </c>
      <c r="F381" s="22">
        <f>SUM(F382:F384)</f>
        <v>4045640</v>
      </c>
      <c r="G381" s="22"/>
      <c r="H381" s="22"/>
      <c r="I381" s="22"/>
      <c r="J381" s="88" t="s">
        <v>46</v>
      </c>
    </row>
    <row r="382" spans="1:10" ht="13.15" customHeight="1" x14ac:dyDescent="0.25">
      <c r="A382" s="67"/>
      <c r="B382" s="74"/>
      <c r="C382" s="24" t="s">
        <v>13</v>
      </c>
      <c r="D382" s="22">
        <f t="shared" si="23"/>
        <v>0</v>
      </c>
      <c r="E382" s="22">
        <v>0</v>
      </c>
      <c r="F382" s="22">
        <v>0</v>
      </c>
      <c r="G382" s="22"/>
      <c r="H382" s="22"/>
      <c r="I382" s="22"/>
      <c r="J382" s="89"/>
    </row>
    <row r="383" spans="1:10" ht="12.6" customHeight="1" x14ac:dyDescent="0.25">
      <c r="A383" s="67"/>
      <c r="B383" s="74"/>
      <c r="C383" s="24" t="s">
        <v>14</v>
      </c>
      <c r="D383" s="22">
        <f t="shared" si="23"/>
        <v>0</v>
      </c>
      <c r="E383" s="22">
        <v>0</v>
      </c>
      <c r="F383" s="22">
        <v>0</v>
      </c>
      <c r="G383" s="22"/>
      <c r="H383" s="22"/>
      <c r="I383" s="22"/>
      <c r="J383" s="89"/>
    </row>
    <row r="384" spans="1:10" ht="12.6" customHeight="1" x14ac:dyDescent="0.25">
      <c r="A384" s="68"/>
      <c r="B384" s="75"/>
      <c r="C384" s="24" t="s">
        <v>15</v>
      </c>
      <c r="D384" s="22">
        <f t="shared" si="23"/>
        <v>11845640</v>
      </c>
      <c r="E384" s="22">
        <f>E456</f>
        <v>7800000</v>
      </c>
      <c r="F384" s="22">
        <v>4045640</v>
      </c>
      <c r="G384" s="22"/>
      <c r="H384" s="22"/>
      <c r="I384" s="22"/>
      <c r="J384" s="89"/>
    </row>
    <row r="385" spans="1:10" ht="13.9" hidden="1" customHeight="1" x14ac:dyDescent="0.25">
      <c r="A385" s="117" t="s">
        <v>47</v>
      </c>
      <c r="B385" s="73" t="s">
        <v>39</v>
      </c>
      <c r="C385" s="24" t="s">
        <v>11</v>
      </c>
      <c r="D385" s="23">
        <f t="shared" si="23"/>
        <v>0</v>
      </c>
      <c r="E385" s="27"/>
      <c r="F385" s="27"/>
      <c r="G385" s="27"/>
      <c r="H385" s="27"/>
      <c r="I385" s="23"/>
      <c r="J385" s="89"/>
    </row>
    <row r="386" spans="1:10" ht="12.6" hidden="1" customHeight="1" x14ac:dyDescent="0.25">
      <c r="A386" s="118"/>
      <c r="B386" s="74"/>
      <c r="C386" s="24" t="s">
        <v>13</v>
      </c>
      <c r="D386" s="23">
        <f t="shared" si="23"/>
        <v>0</v>
      </c>
      <c r="E386" s="27"/>
      <c r="F386" s="27"/>
      <c r="G386" s="27"/>
      <c r="H386" s="27"/>
      <c r="I386" s="23"/>
      <c r="J386" s="89"/>
    </row>
    <row r="387" spans="1:10" ht="13.15" hidden="1" customHeight="1" x14ac:dyDescent="0.25">
      <c r="A387" s="118"/>
      <c r="B387" s="74"/>
      <c r="C387" s="24" t="s">
        <v>14</v>
      </c>
      <c r="D387" s="23">
        <f t="shared" si="23"/>
        <v>0</v>
      </c>
      <c r="E387" s="27"/>
      <c r="F387" s="27"/>
      <c r="G387" s="27"/>
      <c r="H387" s="27"/>
      <c r="I387" s="23"/>
      <c r="J387" s="89"/>
    </row>
    <row r="388" spans="1:10" ht="13.15" hidden="1" customHeight="1" x14ac:dyDescent="0.25">
      <c r="A388" s="119"/>
      <c r="B388" s="75"/>
      <c r="C388" s="24" t="s">
        <v>15</v>
      </c>
      <c r="D388" s="23">
        <f t="shared" si="23"/>
        <v>0</v>
      </c>
      <c r="E388" s="27"/>
      <c r="F388" s="27"/>
      <c r="G388" s="27"/>
      <c r="H388" s="27"/>
      <c r="I388" s="23"/>
      <c r="J388" s="89"/>
    </row>
    <row r="389" spans="1:10" ht="13.15" hidden="1" customHeight="1" x14ac:dyDescent="0.25">
      <c r="A389" s="117" t="s">
        <v>48</v>
      </c>
      <c r="B389" s="73" t="s">
        <v>39</v>
      </c>
      <c r="C389" s="24" t="s">
        <v>11</v>
      </c>
      <c r="D389" s="23">
        <f t="shared" si="23"/>
        <v>0</v>
      </c>
      <c r="E389" s="27"/>
      <c r="F389" s="27"/>
      <c r="G389" s="27"/>
      <c r="H389" s="27"/>
      <c r="I389" s="23"/>
      <c r="J389" s="89"/>
    </row>
    <row r="390" spans="1:10" ht="12" hidden="1" customHeight="1" x14ac:dyDescent="0.25">
      <c r="A390" s="118"/>
      <c r="B390" s="74"/>
      <c r="C390" s="24" t="s">
        <v>13</v>
      </c>
      <c r="D390" s="23">
        <f t="shared" si="23"/>
        <v>0</v>
      </c>
      <c r="E390" s="27"/>
      <c r="F390" s="27"/>
      <c r="G390" s="27"/>
      <c r="H390" s="27"/>
      <c r="I390" s="23"/>
      <c r="J390" s="89"/>
    </row>
    <row r="391" spans="1:10" ht="12.6" hidden="1" customHeight="1" x14ac:dyDescent="0.25">
      <c r="A391" s="118"/>
      <c r="B391" s="74"/>
      <c r="C391" s="24" t="s">
        <v>14</v>
      </c>
      <c r="D391" s="23">
        <f t="shared" si="23"/>
        <v>0</v>
      </c>
      <c r="E391" s="27"/>
      <c r="F391" s="27"/>
      <c r="G391" s="27"/>
      <c r="H391" s="27"/>
      <c r="I391" s="23"/>
      <c r="J391" s="89"/>
    </row>
    <row r="392" spans="1:10" ht="12" hidden="1" customHeight="1" x14ac:dyDescent="0.25">
      <c r="A392" s="119"/>
      <c r="B392" s="75"/>
      <c r="C392" s="24" t="s">
        <v>15</v>
      </c>
      <c r="D392" s="23">
        <f t="shared" si="23"/>
        <v>0</v>
      </c>
      <c r="E392" s="27"/>
      <c r="F392" s="27"/>
      <c r="G392" s="27"/>
      <c r="H392" s="27"/>
      <c r="I392" s="23"/>
      <c r="J392" s="89"/>
    </row>
    <row r="393" spans="1:10" ht="13.9" hidden="1" customHeight="1" x14ac:dyDescent="0.25">
      <c r="A393" s="117" t="s">
        <v>49</v>
      </c>
      <c r="B393" s="73" t="s">
        <v>50</v>
      </c>
      <c r="C393" s="24" t="s">
        <v>11</v>
      </c>
      <c r="D393" s="23">
        <f t="shared" si="23"/>
        <v>0</v>
      </c>
      <c r="E393" s="27"/>
      <c r="F393" s="27"/>
      <c r="G393" s="27"/>
      <c r="H393" s="27"/>
      <c r="I393" s="23"/>
      <c r="J393" s="89"/>
    </row>
    <row r="394" spans="1:10" ht="13.9" hidden="1" customHeight="1" x14ac:dyDescent="0.25">
      <c r="A394" s="118"/>
      <c r="B394" s="74"/>
      <c r="C394" s="24" t="s">
        <v>13</v>
      </c>
      <c r="D394" s="23">
        <f t="shared" si="23"/>
        <v>0</v>
      </c>
      <c r="E394" s="27"/>
      <c r="F394" s="27"/>
      <c r="G394" s="27"/>
      <c r="H394" s="27"/>
      <c r="I394" s="23"/>
      <c r="J394" s="89"/>
    </row>
    <row r="395" spans="1:10" ht="13.15" hidden="1" customHeight="1" x14ac:dyDescent="0.25">
      <c r="A395" s="118"/>
      <c r="B395" s="74"/>
      <c r="C395" s="24" t="s">
        <v>14</v>
      </c>
      <c r="D395" s="23">
        <f t="shared" si="23"/>
        <v>0</v>
      </c>
      <c r="E395" s="27"/>
      <c r="F395" s="27"/>
      <c r="G395" s="27"/>
      <c r="H395" s="27"/>
      <c r="I395" s="23"/>
      <c r="J395" s="89"/>
    </row>
    <row r="396" spans="1:10" ht="13.15" hidden="1" customHeight="1" x14ac:dyDescent="0.25">
      <c r="A396" s="119"/>
      <c r="B396" s="75"/>
      <c r="C396" s="24" t="s">
        <v>15</v>
      </c>
      <c r="D396" s="23">
        <f t="shared" si="23"/>
        <v>0</v>
      </c>
      <c r="E396" s="27"/>
      <c r="F396" s="27"/>
      <c r="G396" s="27"/>
      <c r="H396" s="27"/>
      <c r="I396" s="23"/>
      <c r="J396" s="89"/>
    </row>
    <row r="397" spans="1:10" ht="12.6" hidden="1" customHeight="1" x14ac:dyDescent="0.25">
      <c r="A397" s="117" t="s">
        <v>51</v>
      </c>
      <c r="B397" s="73" t="s">
        <v>39</v>
      </c>
      <c r="C397" s="24" t="s">
        <v>11</v>
      </c>
      <c r="D397" s="23">
        <f t="shared" si="23"/>
        <v>0</v>
      </c>
      <c r="E397" s="27"/>
      <c r="F397" s="27"/>
      <c r="G397" s="27"/>
      <c r="H397" s="27"/>
      <c r="I397" s="23"/>
      <c r="J397" s="89"/>
    </row>
    <row r="398" spans="1:10" ht="13.15" hidden="1" customHeight="1" x14ac:dyDescent="0.25">
      <c r="A398" s="118"/>
      <c r="B398" s="74"/>
      <c r="C398" s="24" t="s">
        <v>13</v>
      </c>
      <c r="D398" s="23">
        <f t="shared" si="23"/>
        <v>0</v>
      </c>
      <c r="E398" s="27"/>
      <c r="F398" s="27"/>
      <c r="G398" s="27"/>
      <c r="H398" s="27"/>
      <c r="I398" s="23"/>
      <c r="J398" s="89"/>
    </row>
    <row r="399" spans="1:10" ht="13.15" hidden="1" customHeight="1" x14ac:dyDescent="0.25">
      <c r="A399" s="118"/>
      <c r="B399" s="74"/>
      <c r="C399" s="24" t="s">
        <v>14</v>
      </c>
      <c r="D399" s="23">
        <f t="shared" si="23"/>
        <v>0</v>
      </c>
      <c r="E399" s="27"/>
      <c r="F399" s="27"/>
      <c r="G399" s="27"/>
      <c r="H399" s="27"/>
      <c r="I399" s="23"/>
      <c r="J399" s="89"/>
    </row>
    <row r="400" spans="1:10" ht="15" hidden="1" customHeight="1" x14ac:dyDescent="0.25">
      <c r="A400" s="119"/>
      <c r="B400" s="75"/>
      <c r="C400" s="24" t="s">
        <v>15</v>
      </c>
      <c r="D400" s="23">
        <f t="shared" si="23"/>
        <v>0</v>
      </c>
      <c r="E400" s="27"/>
      <c r="F400" s="27"/>
      <c r="G400" s="27"/>
      <c r="H400" s="27"/>
      <c r="I400" s="23"/>
      <c r="J400" s="89"/>
    </row>
    <row r="401" spans="1:10" ht="12.6" hidden="1" customHeight="1" x14ac:dyDescent="0.25">
      <c r="A401" s="117" t="s">
        <v>52</v>
      </c>
      <c r="B401" s="73" t="s">
        <v>39</v>
      </c>
      <c r="C401" s="24" t="s">
        <v>11</v>
      </c>
      <c r="D401" s="23">
        <f t="shared" si="23"/>
        <v>0</v>
      </c>
      <c r="E401" s="27"/>
      <c r="F401" s="27"/>
      <c r="G401" s="27"/>
      <c r="H401" s="27"/>
      <c r="I401" s="23"/>
      <c r="J401" s="89"/>
    </row>
    <row r="402" spans="1:10" ht="12.6" hidden="1" customHeight="1" x14ac:dyDescent="0.25">
      <c r="A402" s="118"/>
      <c r="B402" s="74"/>
      <c r="C402" s="24" t="s">
        <v>13</v>
      </c>
      <c r="D402" s="23">
        <f t="shared" si="23"/>
        <v>0</v>
      </c>
      <c r="E402" s="27"/>
      <c r="F402" s="27"/>
      <c r="G402" s="27"/>
      <c r="H402" s="27"/>
      <c r="I402" s="23"/>
      <c r="J402" s="89"/>
    </row>
    <row r="403" spans="1:10" ht="13.15" hidden="1" customHeight="1" x14ac:dyDescent="0.25">
      <c r="A403" s="118"/>
      <c r="B403" s="74"/>
      <c r="C403" s="24" t="s">
        <v>14</v>
      </c>
      <c r="D403" s="23">
        <f t="shared" si="23"/>
        <v>0</v>
      </c>
      <c r="E403" s="27"/>
      <c r="F403" s="27"/>
      <c r="G403" s="27"/>
      <c r="H403" s="27"/>
      <c r="I403" s="23"/>
      <c r="J403" s="89"/>
    </row>
    <row r="404" spans="1:10" ht="13.9" hidden="1" customHeight="1" x14ac:dyDescent="0.25">
      <c r="A404" s="119"/>
      <c r="B404" s="75"/>
      <c r="C404" s="24" t="s">
        <v>15</v>
      </c>
      <c r="D404" s="23">
        <f t="shared" si="23"/>
        <v>0</v>
      </c>
      <c r="E404" s="27"/>
      <c r="F404" s="27"/>
      <c r="G404" s="27"/>
      <c r="H404" s="27"/>
      <c r="I404" s="23"/>
      <c r="J404" s="89"/>
    </row>
    <row r="405" spans="1:10" ht="12.6" hidden="1" customHeight="1" x14ac:dyDescent="0.25">
      <c r="A405" s="117" t="s">
        <v>53</v>
      </c>
      <c r="B405" s="73" t="s">
        <v>39</v>
      </c>
      <c r="C405" s="24" t="s">
        <v>11</v>
      </c>
      <c r="D405" s="23">
        <f t="shared" si="23"/>
        <v>0</v>
      </c>
      <c r="E405" s="27"/>
      <c r="F405" s="27"/>
      <c r="G405" s="27"/>
      <c r="H405" s="27"/>
      <c r="I405" s="23"/>
      <c r="J405" s="89"/>
    </row>
    <row r="406" spans="1:10" ht="12.6" hidden="1" customHeight="1" x14ac:dyDescent="0.25">
      <c r="A406" s="118"/>
      <c r="B406" s="74"/>
      <c r="C406" s="24" t="s">
        <v>13</v>
      </c>
      <c r="D406" s="23">
        <f t="shared" si="23"/>
        <v>0</v>
      </c>
      <c r="E406" s="27"/>
      <c r="F406" s="27"/>
      <c r="G406" s="27"/>
      <c r="H406" s="27"/>
      <c r="I406" s="23"/>
      <c r="J406" s="89"/>
    </row>
    <row r="407" spans="1:10" ht="12.6" hidden="1" customHeight="1" x14ac:dyDescent="0.25">
      <c r="A407" s="118"/>
      <c r="B407" s="74"/>
      <c r="C407" s="24" t="s">
        <v>14</v>
      </c>
      <c r="D407" s="23">
        <f t="shared" si="23"/>
        <v>0</v>
      </c>
      <c r="E407" s="27"/>
      <c r="F407" s="27"/>
      <c r="G407" s="27"/>
      <c r="H407" s="27"/>
      <c r="I407" s="23"/>
      <c r="J407" s="89"/>
    </row>
    <row r="408" spans="1:10" ht="13.9" hidden="1" customHeight="1" x14ac:dyDescent="0.25">
      <c r="A408" s="119"/>
      <c r="B408" s="75"/>
      <c r="C408" s="24" t="s">
        <v>15</v>
      </c>
      <c r="D408" s="23">
        <f t="shared" si="23"/>
        <v>0</v>
      </c>
      <c r="E408" s="27"/>
      <c r="F408" s="27"/>
      <c r="G408" s="27"/>
      <c r="H408" s="27"/>
      <c r="I408" s="23"/>
      <c r="J408" s="89"/>
    </row>
    <row r="409" spans="1:10" ht="12" hidden="1" customHeight="1" x14ac:dyDescent="0.25">
      <c r="A409" s="117" t="s">
        <v>54</v>
      </c>
      <c r="B409" s="73" t="s">
        <v>39</v>
      </c>
      <c r="C409" s="24" t="s">
        <v>11</v>
      </c>
      <c r="D409" s="23">
        <f t="shared" si="23"/>
        <v>0</v>
      </c>
      <c r="E409" s="27"/>
      <c r="F409" s="27"/>
      <c r="G409" s="27"/>
      <c r="H409" s="27"/>
      <c r="I409" s="23"/>
      <c r="J409" s="89"/>
    </row>
    <row r="410" spans="1:10" ht="13.15" hidden="1" customHeight="1" x14ac:dyDescent="0.25">
      <c r="A410" s="118"/>
      <c r="B410" s="74"/>
      <c r="C410" s="24" t="s">
        <v>13</v>
      </c>
      <c r="D410" s="23">
        <f t="shared" si="23"/>
        <v>0</v>
      </c>
      <c r="E410" s="27"/>
      <c r="F410" s="27"/>
      <c r="G410" s="27"/>
      <c r="H410" s="27"/>
      <c r="I410" s="23"/>
      <c r="J410" s="89"/>
    </row>
    <row r="411" spans="1:10" ht="12.6" hidden="1" customHeight="1" x14ac:dyDescent="0.25">
      <c r="A411" s="118"/>
      <c r="B411" s="74"/>
      <c r="C411" s="24" t="s">
        <v>14</v>
      </c>
      <c r="D411" s="23">
        <f t="shared" si="23"/>
        <v>0</v>
      </c>
      <c r="E411" s="27"/>
      <c r="F411" s="27"/>
      <c r="G411" s="27"/>
      <c r="H411" s="27"/>
      <c r="I411" s="23"/>
      <c r="J411" s="89"/>
    </row>
    <row r="412" spans="1:10" ht="12.6" hidden="1" customHeight="1" x14ac:dyDescent="0.25">
      <c r="A412" s="119"/>
      <c r="B412" s="75"/>
      <c r="C412" s="24" t="s">
        <v>15</v>
      </c>
      <c r="D412" s="23">
        <f t="shared" si="23"/>
        <v>0</v>
      </c>
      <c r="E412" s="27"/>
      <c r="F412" s="27"/>
      <c r="G412" s="27"/>
      <c r="H412" s="27"/>
      <c r="I412" s="23"/>
      <c r="J412" s="89"/>
    </row>
    <row r="413" spans="1:10" ht="12" hidden="1" customHeight="1" x14ac:dyDescent="0.25">
      <c r="A413" s="117" t="s">
        <v>55</v>
      </c>
      <c r="B413" s="73" t="s">
        <v>39</v>
      </c>
      <c r="C413" s="24" t="s">
        <v>11</v>
      </c>
      <c r="D413" s="23">
        <f t="shared" si="23"/>
        <v>0</v>
      </c>
      <c r="E413" s="27"/>
      <c r="F413" s="27"/>
      <c r="G413" s="27"/>
      <c r="H413" s="27"/>
      <c r="I413" s="23"/>
      <c r="J413" s="89"/>
    </row>
    <row r="414" spans="1:10" ht="13.15" hidden="1" customHeight="1" x14ac:dyDescent="0.25">
      <c r="A414" s="118"/>
      <c r="B414" s="74"/>
      <c r="C414" s="24" t="s">
        <v>13</v>
      </c>
      <c r="D414" s="23">
        <f t="shared" si="23"/>
        <v>0</v>
      </c>
      <c r="E414" s="27"/>
      <c r="F414" s="27"/>
      <c r="G414" s="27"/>
      <c r="H414" s="27"/>
      <c r="I414" s="23"/>
      <c r="J414" s="89"/>
    </row>
    <row r="415" spans="1:10" ht="12" hidden="1" customHeight="1" x14ac:dyDescent="0.25">
      <c r="A415" s="118"/>
      <c r="B415" s="74"/>
      <c r="C415" s="24" t="s">
        <v>14</v>
      </c>
      <c r="D415" s="23">
        <f t="shared" si="23"/>
        <v>0</v>
      </c>
      <c r="E415" s="27"/>
      <c r="F415" s="27"/>
      <c r="G415" s="27"/>
      <c r="H415" s="27"/>
      <c r="I415" s="23"/>
      <c r="J415" s="89"/>
    </row>
    <row r="416" spans="1:10" ht="12.6" hidden="1" customHeight="1" x14ac:dyDescent="0.25">
      <c r="A416" s="119"/>
      <c r="B416" s="75"/>
      <c r="C416" s="24" t="s">
        <v>15</v>
      </c>
      <c r="D416" s="23">
        <f t="shared" si="23"/>
        <v>0</v>
      </c>
      <c r="E416" s="27"/>
      <c r="F416" s="27"/>
      <c r="G416" s="27"/>
      <c r="H416" s="27"/>
      <c r="I416" s="23"/>
      <c r="J416" s="89"/>
    </row>
    <row r="417" spans="1:10" ht="12.6" hidden="1" customHeight="1" x14ac:dyDescent="0.25">
      <c r="A417" s="117" t="s">
        <v>56</v>
      </c>
      <c r="B417" s="73" t="s">
        <v>39</v>
      </c>
      <c r="C417" s="24" t="s">
        <v>11</v>
      </c>
      <c r="D417" s="23">
        <f t="shared" si="23"/>
        <v>0</v>
      </c>
      <c r="E417" s="27"/>
      <c r="F417" s="27"/>
      <c r="G417" s="27"/>
      <c r="H417" s="27"/>
      <c r="I417" s="23"/>
      <c r="J417" s="89"/>
    </row>
    <row r="418" spans="1:10" ht="12" hidden="1" customHeight="1" x14ac:dyDescent="0.25">
      <c r="A418" s="118"/>
      <c r="B418" s="74"/>
      <c r="C418" s="24" t="s">
        <v>13</v>
      </c>
      <c r="D418" s="23">
        <f t="shared" si="23"/>
        <v>0</v>
      </c>
      <c r="E418" s="27"/>
      <c r="F418" s="27"/>
      <c r="G418" s="27"/>
      <c r="H418" s="27"/>
      <c r="I418" s="23"/>
      <c r="J418" s="89"/>
    </row>
    <row r="419" spans="1:10" ht="11.45" hidden="1" customHeight="1" x14ac:dyDescent="0.25">
      <c r="A419" s="118"/>
      <c r="B419" s="74"/>
      <c r="C419" s="24" t="s">
        <v>14</v>
      </c>
      <c r="D419" s="23">
        <f t="shared" si="23"/>
        <v>0</v>
      </c>
      <c r="E419" s="27"/>
      <c r="F419" s="27"/>
      <c r="G419" s="27"/>
      <c r="H419" s="27"/>
      <c r="I419" s="23"/>
      <c r="J419" s="89"/>
    </row>
    <row r="420" spans="1:10" ht="12" hidden="1" customHeight="1" x14ac:dyDescent="0.25">
      <c r="A420" s="119"/>
      <c r="B420" s="75"/>
      <c r="C420" s="24" t="s">
        <v>15</v>
      </c>
      <c r="D420" s="23">
        <f t="shared" si="23"/>
        <v>0</v>
      </c>
      <c r="E420" s="27"/>
      <c r="F420" s="27"/>
      <c r="G420" s="27"/>
      <c r="H420" s="27"/>
      <c r="I420" s="23"/>
      <c r="J420" s="89"/>
    </row>
    <row r="421" spans="1:10" ht="12.6" hidden="1" customHeight="1" x14ac:dyDescent="0.25">
      <c r="A421" s="117" t="s">
        <v>152</v>
      </c>
      <c r="B421" s="73" t="s">
        <v>39</v>
      </c>
      <c r="C421" s="24" t="s">
        <v>11</v>
      </c>
      <c r="D421" s="23">
        <f t="shared" si="23"/>
        <v>0</v>
      </c>
      <c r="E421" s="27"/>
      <c r="F421" s="27"/>
      <c r="G421" s="27"/>
      <c r="H421" s="27"/>
      <c r="I421" s="23"/>
      <c r="J421" s="89"/>
    </row>
    <row r="422" spans="1:10" ht="13.15" hidden="1" customHeight="1" x14ac:dyDescent="0.25">
      <c r="A422" s="118"/>
      <c r="B422" s="74"/>
      <c r="C422" s="24" t="s">
        <v>13</v>
      </c>
      <c r="D422" s="23">
        <f t="shared" si="23"/>
        <v>0</v>
      </c>
      <c r="E422" s="27"/>
      <c r="F422" s="27"/>
      <c r="G422" s="27"/>
      <c r="H422" s="27"/>
      <c r="I422" s="23"/>
      <c r="J422" s="89"/>
    </row>
    <row r="423" spans="1:10" ht="12.6" hidden="1" customHeight="1" x14ac:dyDescent="0.25">
      <c r="A423" s="118"/>
      <c r="B423" s="74"/>
      <c r="C423" s="24" t="s">
        <v>14</v>
      </c>
      <c r="D423" s="23">
        <f t="shared" si="23"/>
        <v>0</v>
      </c>
      <c r="E423" s="27"/>
      <c r="F423" s="27"/>
      <c r="G423" s="27"/>
      <c r="H423" s="27"/>
      <c r="I423" s="23"/>
      <c r="J423" s="89"/>
    </row>
    <row r="424" spans="1:10" ht="13.15" hidden="1" customHeight="1" x14ac:dyDescent="0.25">
      <c r="A424" s="119"/>
      <c r="B424" s="75"/>
      <c r="C424" s="24" t="s">
        <v>15</v>
      </c>
      <c r="D424" s="23">
        <f t="shared" si="23"/>
        <v>0</v>
      </c>
      <c r="E424" s="27"/>
      <c r="F424" s="27"/>
      <c r="G424" s="27"/>
      <c r="H424" s="27"/>
      <c r="I424" s="23"/>
      <c r="J424" s="89"/>
    </row>
    <row r="425" spans="1:10" ht="13.15" hidden="1" customHeight="1" x14ac:dyDescent="0.25">
      <c r="A425" s="117" t="s">
        <v>153</v>
      </c>
      <c r="B425" s="73" t="s">
        <v>39</v>
      </c>
      <c r="C425" s="24" t="s">
        <v>11</v>
      </c>
      <c r="D425" s="23">
        <f t="shared" si="23"/>
        <v>0</v>
      </c>
      <c r="E425" s="27"/>
      <c r="F425" s="27"/>
      <c r="G425" s="27"/>
      <c r="H425" s="27"/>
      <c r="I425" s="23"/>
      <c r="J425" s="89"/>
    </row>
    <row r="426" spans="1:10" ht="13.15" hidden="1" customHeight="1" x14ac:dyDescent="0.25">
      <c r="A426" s="118"/>
      <c r="B426" s="74"/>
      <c r="C426" s="24" t="s">
        <v>13</v>
      </c>
      <c r="D426" s="23">
        <f t="shared" si="23"/>
        <v>0</v>
      </c>
      <c r="E426" s="27"/>
      <c r="F426" s="27"/>
      <c r="G426" s="27"/>
      <c r="H426" s="27"/>
      <c r="I426" s="23"/>
      <c r="J426" s="89"/>
    </row>
    <row r="427" spans="1:10" ht="13.9" hidden="1" customHeight="1" x14ac:dyDescent="0.25">
      <c r="A427" s="118"/>
      <c r="B427" s="74"/>
      <c r="C427" s="24" t="s">
        <v>14</v>
      </c>
      <c r="D427" s="23">
        <f t="shared" si="23"/>
        <v>0</v>
      </c>
      <c r="E427" s="27"/>
      <c r="F427" s="27"/>
      <c r="G427" s="27"/>
      <c r="H427" s="27"/>
      <c r="I427" s="23"/>
      <c r="J427" s="89"/>
    </row>
    <row r="428" spans="1:10" ht="13.15" hidden="1" customHeight="1" x14ac:dyDescent="0.25">
      <c r="A428" s="119"/>
      <c r="B428" s="75"/>
      <c r="C428" s="24" t="s">
        <v>15</v>
      </c>
      <c r="D428" s="23">
        <f t="shared" si="23"/>
        <v>0</v>
      </c>
      <c r="E428" s="27"/>
      <c r="F428" s="27"/>
      <c r="G428" s="27"/>
      <c r="H428" s="27"/>
      <c r="I428" s="23"/>
      <c r="J428" s="89"/>
    </row>
    <row r="429" spans="1:10" ht="13.15" hidden="1" customHeight="1" x14ac:dyDescent="0.25">
      <c r="A429" s="117" t="s">
        <v>154</v>
      </c>
      <c r="B429" s="73" t="s">
        <v>39</v>
      </c>
      <c r="C429" s="24" t="s">
        <v>11</v>
      </c>
      <c r="D429" s="23">
        <f t="shared" si="23"/>
        <v>0</v>
      </c>
      <c r="E429" s="27"/>
      <c r="F429" s="27"/>
      <c r="G429" s="27"/>
      <c r="H429" s="27"/>
      <c r="I429" s="23"/>
      <c r="J429" s="89"/>
    </row>
    <row r="430" spans="1:10" ht="13.9" hidden="1" customHeight="1" x14ac:dyDescent="0.25">
      <c r="A430" s="118"/>
      <c r="B430" s="74"/>
      <c r="C430" s="24" t="s">
        <v>13</v>
      </c>
      <c r="D430" s="23">
        <f t="shared" si="23"/>
        <v>0</v>
      </c>
      <c r="E430" s="27"/>
      <c r="F430" s="27"/>
      <c r="G430" s="27"/>
      <c r="H430" s="27"/>
      <c r="I430" s="23"/>
      <c r="J430" s="89"/>
    </row>
    <row r="431" spans="1:10" hidden="1" x14ac:dyDescent="0.25">
      <c r="A431" s="118"/>
      <c r="B431" s="74"/>
      <c r="C431" s="24" t="s">
        <v>14</v>
      </c>
      <c r="D431" s="23">
        <f t="shared" si="23"/>
        <v>0</v>
      </c>
      <c r="E431" s="27"/>
      <c r="F431" s="27"/>
      <c r="G431" s="27"/>
      <c r="H431" s="27"/>
      <c r="I431" s="23"/>
      <c r="J431" s="89"/>
    </row>
    <row r="432" spans="1:10" hidden="1" x14ac:dyDescent="0.25">
      <c r="A432" s="119"/>
      <c r="B432" s="75"/>
      <c r="C432" s="24" t="s">
        <v>15</v>
      </c>
      <c r="D432" s="23">
        <f t="shared" si="23"/>
        <v>0</v>
      </c>
      <c r="E432" s="27"/>
      <c r="F432" s="27"/>
      <c r="G432" s="27"/>
      <c r="H432" s="27"/>
      <c r="I432" s="23"/>
      <c r="J432" s="89"/>
    </row>
    <row r="433" spans="1:10" ht="13.15" hidden="1" customHeight="1" x14ac:dyDescent="0.25">
      <c r="A433" s="117" t="s">
        <v>155</v>
      </c>
      <c r="B433" s="73" t="s">
        <v>39</v>
      </c>
      <c r="C433" s="24" t="s">
        <v>11</v>
      </c>
      <c r="D433" s="23">
        <f t="shared" si="23"/>
        <v>0</v>
      </c>
      <c r="E433" s="27"/>
      <c r="F433" s="27"/>
      <c r="G433" s="27"/>
      <c r="H433" s="27"/>
      <c r="I433" s="23"/>
      <c r="J433" s="89"/>
    </row>
    <row r="434" spans="1:10" ht="13.15" hidden="1" customHeight="1" x14ac:dyDescent="0.25">
      <c r="A434" s="118"/>
      <c r="B434" s="74"/>
      <c r="C434" s="24" t="s">
        <v>13</v>
      </c>
      <c r="D434" s="23">
        <f t="shared" si="23"/>
        <v>0</v>
      </c>
      <c r="E434" s="27"/>
      <c r="F434" s="27"/>
      <c r="G434" s="27"/>
      <c r="H434" s="27"/>
      <c r="I434" s="23"/>
      <c r="J434" s="89"/>
    </row>
    <row r="435" spans="1:10" ht="12.6" hidden="1" customHeight="1" x14ac:dyDescent="0.25">
      <c r="A435" s="118"/>
      <c r="B435" s="74"/>
      <c r="C435" s="24" t="s">
        <v>14</v>
      </c>
      <c r="D435" s="23">
        <f t="shared" si="23"/>
        <v>0</v>
      </c>
      <c r="E435" s="27"/>
      <c r="F435" s="27"/>
      <c r="G435" s="27"/>
      <c r="H435" s="27"/>
      <c r="I435" s="23"/>
      <c r="J435" s="89"/>
    </row>
    <row r="436" spans="1:10" hidden="1" x14ac:dyDescent="0.25">
      <c r="A436" s="119"/>
      <c r="B436" s="75"/>
      <c r="C436" s="24" t="s">
        <v>15</v>
      </c>
      <c r="D436" s="23">
        <f t="shared" si="23"/>
        <v>0</v>
      </c>
      <c r="E436" s="27"/>
      <c r="F436" s="27"/>
      <c r="G436" s="27"/>
      <c r="H436" s="27"/>
      <c r="I436" s="23"/>
      <c r="J436" s="89"/>
    </row>
    <row r="437" spans="1:10" ht="12.6" hidden="1" customHeight="1" x14ac:dyDescent="0.25">
      <c r="A437" s="117" t="s">
        <v>156</v>
      </c>
      <c r="B437" s="73" t="s">
        <v>39</v>
      </c>
      <c r="C437" s="24" t="s">
        <v>11</v>
      </c>
      <c r="D437" s="23">
        <f t="shared" si="23"/>
        <v>0</v>
      </c>
      <c r="E437" s="27"/>
      <c r="F437" s="27"/>
      <c r="G437" s="27"/>
      <c r="H437" s="27"/>
      <c r="I437" s="23"/>
      <c r="J437" s="89"/>
    </row>
    <row r="438" spans="1:10" ht="13.15" hidden="1" customHeight="1" x14ac:dyDescent="0.25">
      <c r="A438" s="118"/>
      <c r="B438" s="74"/>
      <c r="C438" s="24" t="s">
        <v>13</v>
      </c>
      <c r="D438" s="23">
        <f t="shared" si="23"/>
        <v>0</v>
      </c>
      <c r="E438" s="27"/>
      <c r="F438" s="27"/>
      <c r="G438" s="27"/>
      <c r="H438" s="27"/>
      <c r="I438" s="23"/>
      <c r="J438" s="89"/>
    </row>
    <row r="439" spans="1:10" ht="13.15" hidden="1" customHeight="1" x14ac:dyDescent="0.25">
      <c r="A439" s="118"/>
      <c r="B439" s="74"/>
      <c r="C439" s="24" t="s">
        <v>14</v>
      </c>
      <c r="D439" s="23">
        <f t="shared" si="23"/>
        <v>0</v>
      </c>
      <c r="E439" s="27"/>
      <c r="F439" s="27"/>
      <c r="G439" s="27"/>
      <c r="H439" s="27"/>
      <c r="I439" s="23"/>
      <c r="J439" s="89"/>
    </row>
    <row r="440" spans="1:10" ht="13.9" hidden="1" customHeight="1" x14ac:dyDescent="0.25">
      <c r="A440" s="119"/>
      <c r="B440" s="75"/>
      <c r="C440" s="24" t="s">
        <v>15</v>
      </c>
      <c r="D440" s="23">
        <f t="shared" si="23"/>
        <v>0</v>
      </c>
      <c r="E440" s="27"/>
      <c r="F440" s="27"/>
      <c r="G440" s="27"/>
      <c r="H440" s="27"/>
      <c r="I440" s="23"/>
      <c r="J440" s="89"/>
    </row>
    <row r="441" spans="1:10" ht="12" hidden="1" customHeight="1" x14ac:dyDescent="0.25">
      <c r="A441" s="117" t="s">
        <v>157</v>
      </c>
      <c r="B441" s="73" t="s">
        <v>39</v>
      </c>
      <c r="C441" s="24" t="s">
        <v>11</v>
      </c>
      <c r="D441" s="23">
        <f t="shared" si="23"/>
        <v>0</v>
      </c>
      <c r="E441" s="27"/>
      <c r="F441" s="27"/>
      <c r="G441" s="27"/>
      <c r="H441" s="27"/>
      <c r="I441" s="23"/>
      <c r="J441" s="89"/>
    </row>
    <row r="442" spans="1:10" ht="13.9" hidden="1" customHeight="1" x14ac:dyDescent="0.25">
      <c r="A442" s="118"/>
      <c r="B442" s="74"/>
      <c r="C442" s="24" t="s">
        <v>13</v>
      </c>
      <c r="D442" s="23">
        <f t="shared" si="23"/>
        <v>0</v>
      </c>
      <c r="E442" s="27"/>
      <c r="F442" s="27"/>
      <c r="G442" s="27"/>
      <c r="H442" s="27"/>
      <c r="I442" s="23"/>
      <c r="J442" s="89"/>
    </row>
    <row r="443" spans="1:10" ht="12.6" hidden="1" customHeight="1" x14ac:dyDescent="0.25">
      <c r="A443" s="118"/>
      <c r="B443" s="74"/>
      <c r="C443" s="24" t="s">
        <v>14</v>
      </c>
      <c r="D443" s="23">
        <f t="shared" si="23"/>
        <v>0</v>
      </c>
      <c r="E443" s="27"/>
      <c r="F443" s="27"/>
      <c r="G443" s="27"/>
      <c r="H443" s="27"/>
      <c r="I443" s="23"/>
      <c r="J443" s="89"/>
    </row>
    <row r="444" spans="1:10" ht="12.6" hidden="1" customHeight="1" x14ac:dyDescent="0.25">
      <c r="A444" s="119"/>
      <c r="B444" s="75"/>
      <c r="C444" s="24" t="s">
        <v>15</v>
      </c>
      <c r="D444" s="23">
        <f t="shared" si="23"/>
        <v>0</v>
      </c>
      <c r="E444" s="27"/>
      <c r="F444" s="27"/>
      <c r="G444" s="27"/>
      <c r="H444" s="27"/>
      <c r="I444" s="23"/>
      <c r="J444" s="89"/>
    </row>
    <row r="445" spans="1:10" ht="12.6" hidden="1" customHeight="1" x14ac:dyDescent="0.25">
      <c r="A445" s="117" t="s">
        <v>158</v>
      </c>
      <c r="B445" s="73" t="s">
        <v>39</v>
      </c>
      <c r="C445" s="24" t="s">
        <v>11</v>
      </c>
      <c r="D445" s="23">
        <f t="shared" ref="D445:D508" si="24">SUM(E445:I445)</f>
        <v>0</v>
      </c>
      <c r="E445" s="27"/>
      <c r="F445" s="27"/>
      <c r="G445" s="27"/>
      <c r="H445" s="27"/>
      <c r="I445" s="23"/>
      <c r="J445" s="89"/>
    </row>
    <row r="446" spans="1:10" ht="13.9" hidden="1" customHeight="1" x14ac:dyDescent="0.25">
      <c r="A446" s="118"/>
      <c r="B446" s="74"/>
      <c r="C446" s="24" t="s">
        <v>13</v>
      </c>
      <c r="D446" s="23">
        <f t="shared" si="24"/>
        <v>0</v>
      </c>
      <c r="E446" s="27"/>
      <c r="F446" s="27"/>
      <c r="G446" s="27"/>
      <c r="H446" s="27"/>
      <c r="I446" s="23"/>
      <c r="J446" s="89"/>
    </row>
    <row r="447" spans="1:10" ht="12.6" hidden="1" customHeight="1" x14ac:dyDescent="0.25">
      <c r="A447" s="118"/>
      <c r="B447" s="74"/>
      <c r="C447" s="24" t="s">
        <v>14</v>
      </c>
      <c r="D447" s="23">
        <f t="shared" si="24"/>
        <v>0</v>
      </c>
      <c r="E447" s="27"/>
      <c r="F447" s="27"/>
      <c r="G447" s="27"/>
      <c r="H447" s="27"/>
      <c r="I447" s="23"/>
      <c r="J447" s="89"/>
    </row>
    <row r="448" spans="1:10" ht="13.15" hidden="1" customHeight="1" x14ac:dyDescent="0.25">
      <c r="A448" s="119"/>
      <c r="B448" s="75"/>
      <c r="C448" s="24" t="s">
        <v>15</v>
      </c>
      <c r="D448" s="23">
        <f t="shared" si="24"/>
        <v>0</v>
      </c>
      <c r="E448" s="36"/>
      <c r="F448" s="27"/>
      <c r="G448" s="27"/>
      <c r="H448" s="27"/>
      <c r="I448" s="23"/>
      <c r="J448" s="89"/>
    </row>
    <row r="449" spans="1:10" ht="12.6" hidden="1" customHeight="1" x14ac:dyDescent="0.25">
      <c r="A449" s="117" t="s">
        <v>159</v>
      </c>
      <c r="B449" s="73" t="s">
        <v>39</v>
      </c>
      <c r="C449" s="24" t="s">
        <v>11</v>
      </c>
      <c r="D449" s="23">
        <f t="shared" si="24"/>
        <v>0</v>
      </c>
      <c r="E449" s="36"/>
      <c r="F449" s="27"/>
      <c r="G449" s="27"/>
      <c r="H449" s="27"/>
      <c r="I449" s="23"/>
      <c r="J449" s="89"/>
    </row>
    <row r="450" spans="1:10" ht="13.15" hidden="1" customHeight="1" x14ac:dyDescent="0.25">
      <c r="A450" s="118"/>
      <c r="B450" s="74"/>
      <c r="C450" s="24" t="s">
        <v>13</v>
      </c>
      <c r="D450" s="23">
        <f t="shared" si="24"/>
        <v>0</v>
      </c>
      <c r="E450" s="36"/>
      <c r="F450" s="27"/>
      <c r="G450" s="27"/>
      <c r="H450" s="27"/>
      <c r="I450" s="23"/>
      <c r="J450" s="89"/>
    </row>
    <row r="451" spans="1:10" ht="13.15" hidden="1" customHeight="1" x14ac:dyDescent="0.25">
      <c r="A451" s="118"/>
      <c r="B451" s="74"/>
      <c r="C451" s="24" t="s">
        <v>14</v>
      </c>
      <c r="D451" s="23">
        <f t="shared" si="24"/>
        <v>0</v>
      </c>
      <c r="E451" s="36"/>
      <c r="F451" s="27"/>
      <c r="G451" s="27"/>
      <c r="H451" s="27"/>
      <c r="I451" s="23"/>
      <c r="J451" s="89"/>
    </row>
    <row r="452" spans="1:10" ht="12.6" hidden="1" customHeight="1" x14ac:dyDescent="0.25">
      <c r="A452" s="119"/>
      <c r="B452" s="75"/>
      <c r="C452" s="24" t="s">
        <v>15</v>
      </c>
      <c r="D452" s="23">
        <f t="shared" si="24"/>
        <v>0</v>
      </c>
      <c r="E452" s="36"/>
      <c r="F452" s="27"/>
      <c r="G452" s="27"/>
      <c r="H452" s="27"/>
      <c r="I452" s="23"/>
      <c r="J452" s="89"/>
    </row>
    <row r="453" spans="1:10" ht="12.6" customHeight="1" x14ac:dyDescent="0.25">
      <c r="A453" s="76" t="s">
        <v>225</v>
      </c>
      <c r="B453" s="73" t="s">
        <v>39</v>
      </c>
      <c r="C453" s="34" t="s">
        <v>11</v>
      </c>
      <c r="D453" s="23">
        <f t="shared" si="24"/>
        <v>7800000</v>
      </c>
      <c r="E453" s="23">
        <v>7800000</v>
      </c>
      <c r="F453" s="27"/>
      <c r="G453" s="27"/>
      <c r="H453" s="27"/>
      <c r="I453" s="23"/>
      <c r="J453" s="89"/>
    </row>
    <row r="454" spans="1:10" ht="12.6" customHeight="1" x14ac:dyDescent="0.25">
      <c r="A454" s="77"/>
      <c r="B454" s="74"/>
      <c r="C454" s="34" t="s">
        <v>13</v>
      </c>
      <c r="D454" s="23">
        <f t="shared" si="24"/>
        <v>0</v>
      </c>
      <c r="E454" s="23">
        <v>0</v>
      </c>
      <c r="F454" s="27"/>
      <c r="G454" s="27"/>
      <c r="H454" s="27"/>
      <c r="I454" s="23"/>
      <c r="J454" s="89"/>
    </row>
    <row r="455" spans="1:10" ht="12.6" customHeight="1" x14ac:dyDescent="0.25">
      <c r="A455" s="77"/>
      <c r="B455" s="74"/>
      <c r="C455" s="34" t="s">
        <v>14</v>
      </c>
      <c r="D455" s="23">
        <f t="shared" si="24"/>
        <v>0</v>
      </c>
      <c r="E455" s="23">
        <v>0</v>
      </c>
      <c r="F455" s="27"/>
      <c r="G455" s="27"/>
      <c r="H455" s="27"/>
      <c r="I455" s="23"/>
      <c r="J455" s="89"/>
    </row>
    <row r="456" spans="1:10" ht="12.6" customHeight="1" x14ac:dyDescent="0.25">
      <c r="A456" s="78"/>
      <c r="B456" s="75"/>
      <c r="C456" s="34" t="s">
        <v>15</v>
      </c>
      <c r="D456" s="23">
        <f t="shared" si="24"/>
        <v>7800000</v>
      </c>
      <c r="E456" s="23">
        <v>7800000</v>
      </c>
      <c r="F456" s="27"/>
      <c r="G456" s="27"/>
      <c r="H456" s="27"/>
      <c r="I456" s="23"/>
      <c r="J456" s="90"/>
    </row>
    <row r="457" spans="1:10" ht="13.15" customHeight="1" x14ac:dyDescent="0.25">
      <c r="A457" s="66" t="s">
        <v>218</v>
      </c>
      <c r="B457" s="73" t="s">
        <v>10</v>
      </c>
      <c r="C457" s="24" t="s">
        <v>11</v>
      </c>
      <c r="D457" s="22">
        <f t="shared" si="24"/>
        <v>178750.2</v>
      </c>
      <c r="E457" s="37"/>
      <c r="F457" s="22"/>
      <c r="G457" s="22">
        <f>SUM(G458:G460)</f>
        <v>178750.2</v>
      </c>
      <c r="H457" s="22"/>
      <c r="I457" s="22"/>
      <c r="J457" s="84" t="s">
        <v>65</v>
      </c>
    </row>
    <row r="458" spans="1:10" ht="12.6" customHeight="1" x14ac:dyDescent="0.25">
      <c r="A458" s="67"/>
      <c r="B458" s="74"/>
      <c r="C458" s="24" t="s">
        <v>13</v>
      </c>
      <c r="D458" s="22">
        <f t="shared" si="24"/>
        <v>0</v>
      </c>
      <c r="E458" s="37"/>
      <c r="F458" s="22"/>
      <c r="G458" s="22">
        <v>0</v>
      </c>
      <c r="H458" s="22"/>
      <c r="I458" s="22"/>
      <c r="J458" s="85"/>
    </row>
    <row r="459" spans="1:10" ht="12.6" customHeight="1" x14ac:dyDescent="0.25">
      <c r="A459" s="67"/>
      <c r="B459" s="74"/>
      <c r="C459" s="24" t="s">
        <v>14</v>
      </c>
      <c r="D459" s="22">
        <f t="shared" si="24"/>
        <v>0</v>
      </c>
      <c r="E459" s="22"/>
      <c r="F459" s="22"/>
      <c r="G459" s="22">
        <v>0</v>
      </c>
      <c r="H459" s="22"/>
      <c r="I459" s="22"/>
      <c r="J459" s="85"/>
    </row>
    <row r="460" spans="1:10" ht="13.15" customHeight="1" x14ac:dyDescent="0.25">
      <c r="A460" s="68"/>
      <c r="B460" s="75"/>
      <c r="C460" s="24" t="s">
        <v>15</v>
      </c>
      <c r="D460" s="22">
        <f t="shared" si="24"/>
        <v>178750.2</v>
      </c>
      <c r="E460" s="22"/>
      <c r="F460" s="22"/>
      <c r="G460" s="22">
        <v>178750.2</v>
      </c>
      <c r="H460" s="22"/>
      <c r="I460" s="22"/>
      <c r="J460" s="86"/>
    </row>
    <row r="461" spans="1:10" ht="22.5" x14ac:dyDescent="0.25">
      <c r="A461" s="97" t="s">
        <v>231</v>
      </c>
      <c r="B461" s="73" t="s">
        <v>10</v>
      </c>
      <c r="C461" s="24" t="s">
        <v>11</v>
      </c>
      <c r="D461" s="22">
        <f t="shared" si="24"/>
        <v>18963.560000000001</v>
      </c>
      <c r="E461" s="22"/>
      <c r="F461" s="22"/>
      <c r="G461" s="22">
        <f>SUM(G462:G464)</f>
        <v>18963.560000000001</v>
      </c>
      <c r="H461" s="22"/>
      <c r="I461" s="22"/>
      <c r="J461" s="84" t="s">
        <v>66</v>
      </c>
    </row>
    <row r="462" spans="1:10" ht="14.45" customHeight="1" x14ac:dyDescent="0.25">
      <c r="A462" s="98"/>
      <c r="B462" s="74"/>
      <c r="C462" s="24" t="s">
        <v>13</v>
      </c>
      <c r="D462" s="22">
        <f t="shared" si="24"/>
        <v>0</v>
      </c>
      <c r="E462" s="22"/>
      <c r="F462" s="22"/>
      <c r="G462" s="22">
        <v>0</v>
      </c>
      <c r="H462" s="22"/>
      <c r="I462" s="22"/>
      <c r="J462" s="85"/>
    </row>
    <row r="463" spans="1:10" x14ac:dyDescent="0.25">
      <c r="A463" s="98"/>
      <c r="B463" s="74"/>
      <c r="C463" s="24" t="s">
        <v>14</v>
      </c>
      <c r="D463" s="22">
        <f t="shared" si="24"/>
        <v>0</v>
      </c>
      <c r="E463" s="22"/>
      <c r="F463" s="22"/>
      <c r="G463" s="22">
        <v>0</v>
      </c>
      <c r="H463" s="22"/>
      <c r="I463" s="22"/>
      <c r="J463" s="85"/>
    </row>
    <row r="464" spans="1:10" x14ac:dyDescent="0.25">
      <c r="A464" s="99"/>
      <c r="B464" s="75"/>
      <c r="C464" s="24" t="s">
        <v>15</v>
      </c>
      <c r="D464" s="22">
        <f t="shared" si="24"/>
        <v>18963.560000000001</v>
      </c>
      <c r="E464" s="22"/>
      <c r="F464" s="22"/>
      <c r="G464" s="22">
        <v>18963.560000000001</v>
      </c>
      <c r="H464" s="22"/>
      <c r="I464" s="22"/>
      <c r="J464" s="85"/>
    </row>
    <row r="465" spans="1:10" ht="13.15" hidden="1" customHeight="1" x14ac:dyDescent="0.25">
      <c r="A465" s="123" t="s">
        <v>121</v>
      </c>
      <c r="B465" s="73" t="s">
        <v>10</v>
      </c>
      <c r="C465" s="24" t="s">
        <v>11</v>
      </c>
      <c r="D465" s="23">
        <f t="shared" si="24"/>
        <v>0</v>
      </c>
      <c r="E465" s="27"/>
      <c r="F465" s="27"/>
      <c r="G465" s="27"/>
      <c r="H465" s="27"/>
      <c r="I465" s="27"/>
      <c r="J465" s="85"/>
    </row>
    <row r="466" spans="1:10" ht="13.9" hidden="1" customHeight="1" x14ac:dyDescent="0.25">
      <c r="A466" s="124"/>
      <c r="B466" s="74"/>
      <c r="C466" s="24" t="s">
        <v>13</v>
      </c>
      <c r="D466" s="23">
        <f t="shared" si="24"/>
        <v>0</v>
      </c>
      <c r="E466" s="27"/>
      <c r="F466" s="27"/>
      <c r="G466" s="27"/>
      <c r="H466" s="27"/>
      <c r="I466" s="27"/>
      <c r="J466" s="85"/>
    </row>
    <row r="467" spans="1:10" ht="13.9" hidden="1" customHeight="1" x14ac:dyDescent="0.25">
      <c r="A467" s="124"/>
      <c r="B467" s="74"/>
      <c r="C467" s="24" t="s">
        <v>14</v>
      </c>
      <c r="D467" s="23">
        <f t="shared" si="24"/>
        <v>0</v>
      </c>
      <c r="E467" s="27"/>
      <c r="F467" s="27"/>
      <c r="G467" s="27"/>
      <c r="H467" s="27"/>
      <c r="I467" s="27"/>
      <c r="J467" s="85"/>
    </row>
    <row r="468" spans="1:10" ht="13.9" hidden="1" customHeight="1" x14ac:dyDescent="0.25">
      <c r="A468" s="125"/>
      <c r="B468" s="75"/>
      <c r="C468" s="24" t="s">
        <v>15</v>
      </c>
      <c r="D468" s="23">
        <f t="shared" si="24"/>
        <v>0</v>
      </c>
      <c r="E468" s="27"/>
      <c r="F468" s="27"/>
      <c r="G468" s="27"/>
      <c r="H468" s="27"/>
      <c r="I468" s="27"/>
      <c r="J468" s="85"/>
    </row>
    <row r="469" spans="1:10" ht="12.6" hidden="1" customHeight="1" x14ac:dyDescent="0.25">
      <c r="A469" s="123" t="s">
        <v>122</v>
      </c>
      <c r="B469" s="73" t="s">
        <v>10</v>
      </c>
      <c r="C469" s="24" t="s">
        <v>11</v>
      </c>
      <c r="D469" s="23">
        <f t="shared" si="24"/>
        <v>0</v>
      </c>
      <c r="E469" s="27"/>
      <c r="F469" s="27"/>
      <c r="G469" s="27"/>
      <c r="H469" s="27"/>
      <c r="I469" s="27"/>
      <c r="J469" s="85"/>
    </row>
    <row r="470" spans="1:10" ht="13.15" hidden="1" customHeight="1" x14ac:dyDescent="0.25">
      <c r="A470" s="124"/>
      <c r="B470" s="74"/>
      <c r="C470" s="24" t="s">
        <v>13</v>
      </c>
      <c r="D470" s="23">
        <f t="shared" si="24"/>
        <v>0</v>
      </c>
      <c r="E470" s="27"/>
      <c r="F470" s="27"/>
      <c r="G470" s="27"/>
      <c r="H470" s="27"/>
      <c r="I470" s="27"/>
      <c r="J470" s="85"/>
    </row>
    <row r="471" spans="1:10" ht="13.9" hidden="1" customHeight="1" x14ac:dyDescent="0.25">
      <c r="A471" s="124"/>
      <c r="B471" s="74"/>
      <c r="C471" s="24" t="s">
        <v>14</v>
      </c>
      <c r="D471" s="23">
        <f t="shared" si="24"/>
        <v>0</v>
      </c>
      <c r="E471" s="27"/>
      <c r="F471" s="27"/>
      <c r="G471" s="27"/>
      <c r="H471" s="27"/>
      <c r="I471" s="27"/>
      <c r="J471" s="85"/>
    </row>
    <row r="472" spans="1:10" hidden="1" x14ac:dyDescent="0.25">
      <c r="A472" s="125"/>
      <c r="B472" s="75"/>
      <c r="C472" s="24" t="s">
        <v>15</v>
      </c>
      <c r="D472" s="23">
        <f t="shared" si="24"/>
        <v>0</v>
      </c>
      <c r="E472" s="27"/>
      <c r="F472" s="27"/>
      <c r="G472" s="27"/>
      <c r="H472" s="27"/>
      <c r="I472" s="27"/>
      <c r="J472" s="86"/>
    </row>
    <row r="473" spans="1:10" ht="12" hidden="1" customHeight="1" x14ac:dyDescent="0.25">
      <c r="A473" s="120" t="s">
        <v>123</v>
      </c>
      <c r="B473" s="73" t="s">
        <v>10</v>
      </c>
      <c r="C473" s="24" t="s">
        <v>11</v>
      </c>
      <c r="D473" s="22">
        <f t="shared" si="24"/>
        <v>0</v>
      </c>
      <c r="E473" s="28"/>
      <c r="F473" s="28"/>
      <c r="G473" s="28"/>
      <c r="H473" s="28"/>
      <c r="I473" s="22"/>
      <c r="J473" s="84" t="s">
        <v>66</v>
      </c>
    </row>
    <row r="474" spans="1:10" ht="12.6" hidden="1" customHeight="1" x14ac:dyDescent="0.25">
      <c r="A474" s="121"/>
      <c r="B474" s="74"/>
      <c r="C474" s="24" t="s">
        <v>13</v>
      </c>
      <c r="D474" s="22">
        <f t="shared" si="24"/>
        <v>0</v>
      </c>
      <c r="E474" s="28"/>
      <c r="F474" s="28"/>
      <c r="G474" s="28"/>
      <c r="H474" s="28"/>
      <c r="I474" s="22"/>
      <c r="J474" s="85"/>
    </row>
    <row r="475" spans="1:10" ht="12.6" hidden="1" customHeight="1" x14ac:dyDescent="0.25">
      <c r="A475" s="121"/>
      <c r="B475" s="74"/>
      <c r="C475" s="24" t="s">
        <v>14</v>
      </c>
      <c r="D475" s="22">
        <f t="shared" si="24"/>
        <v>0</v>
      </c>
      <c r="E475" s="28"/>
      <c r="F475" s="28"/>
      <c r="G475" s="28"/>
      <c r="H475" s="28"/>
      <c r="I475" s="22"/>
      <c r="J475" s="85"/>
    </row>
    <row r="476" spans="1:10" ht="12.6" hidden="1" customHeight="1" x14ac:dyDescent="0.25">
      <c r="A476" s="122"/>
      <c r="B476" s="75"/>
      <c r="C476" s="24" t="s">
        <v>15</v>
      </c>
      <c r="D476" s="22">
        <f t="shared" si="24"/>
        <v>0</v>
      </c>
      <c r="E476" s="28"/>
      <c r="F476" s="28"/>
      <c r="G476" s="28"/>
      <c r="H476" s="28"/>
      <c r="I476" s="22"/>
      <c r="J476" s="86"/>
    </row>
    <row r="477" spans="1:10" ht="12" customHeight="1" x14ac:dyDescent="0.25">
      <c r="A477" s="97" t="s">
        <v>160</v>
      </c>
      <c r="B477" s="73" t="s">
        <v>67</v>
      </c>
      <c r="C477" s="24" t="s">
        <v>11</v>
      </c>
      <c r="D477" s="22">
        <f t="shared" si="24"/>
        <v>2053944.35</v>
      </c>
      <c r="E477" s="22">
        <f>SUM(E478:E480)</f>
        <v>352401.99</v>
      </c>
      <c r="F477" s="22">
        <f>SUM(F478:F480)</f>
        <v>778737.92</v>
      </c>
      <c r="G477" s="22">
        <f>SUM(G478:G480)</f>
        <v>922804.44</v>
      </c>
      <c r="H477" s="22"/>
      <c r="I477" s="22"/>
      <c r="J477" s="84" t="s">
        <v>68</v>
      </c>
    </row>
    <row r="478" spans="1:10" ht="12" customHeight="1" x14ac:dyDescent="0.25">
      <c r="A478" s="98"/>
      <c r="B478" s="74"/>
      <c r="C478" s="24" t="s">
        <v>13</v>
      </c>
      <c r="D478" s="22">
        <f t="shared" si="24"/>
        <v>0</v>
      </c>
      <c r="E478" s="22">
        <v>0</v>
      </c>
      <c r="F478" s="22">
        <v>0</v>
      </c>
      <c r="G478" s="22">
        <v>0</v>
      </c>
      <c r="H478" s="22"/>
      <c r="I478" s="22"/>
      <c r="J478" s="85"/>
    </row>
    <row r="479" spans="1:10" ht="12" customHeight="1" x14ac:dyDescent="0.25">
      <c r="A479" s="98"/>
      <c r="B479" s="74"/>
      <c r="C479" s="24" t="s">
        <v>14</v>
      </c>
      <c r="D479" s="22">
        <f t="shared" si="24"/>
        <v>0</v>
      </c>
      <c r="E479" s="22">
        <v>0</v>
      </c>
      <c r="F479" s="22">
        <v>0</v>
      </c>
      <c r="G479" s="22">
        <v>0</v>
      </c>
      <c r="H479" s="22"/>
      <c r="I479" s="22"/>
      <c r="J479" s="85"/>
    </row>
    <row r="480" spans="1:10" ht="11.45" customHeight="1" x14ac:dyDescent="0.25">
      <c r="A480" s="99"/>
      <c r="B480" s="75"/>
      <c r="C480" s="24" t="s">
        <v>15</v>
      </c>
      <c r="D480" s="22">
        <f t="shared" si="24"/>
        <v>2053944.35</v>
      </c>
      <c r="E480" s="22">
        <v>352401.99</v>
      </c>
      <c r="F480" s="22">
        <v>778737.92</v>
      </c>
      <c r="G480" s="22">
        <v>922804.44</v>
      </c>
      <c r="H480" s="22"/>
      <c r="I480" s="22"/>
      <c r="J480" s="86"/>
    </row>
    <row r="481" spans="1:10" ht="13.15" hidden="1" customHeight="1" x14ac:dyDescent="0.25">
      <c r="A481" s="126" t="s">
        <v>124</v>
      </c>
      <c r="B481" s="73" t="s">
        <v>10</v>
      </c>
      <c r="C481" s="24" t="s">
        <v>11</v>
      </c>
      <c r="D481" s="23">
        <f t="shared" si="24"/>
        <v>0</v>
      </c>
      <c r="E481" s="23"/>
      <c r="F481" s="23"/>
      <c r="G481" s="23"/>
      <c r="H481" s="23"/>
      <c r="I481" s="23"/>
      <c r="J481" s="85"/>
    </row>
    <row r="482" spans="1:10" ht="13.15" hidden="1" customHeight="1" x14ac:dyDescent="0.25">
      <c r="A482" s="127"/>
      <c r="B482" s="74"/>
      <c r="C482" s="24" t="s">
        <v>13</v>
      </c>
      <c r="D482" s="23">
        <f t="shared" si="24"/>
        <v>0</v>
      </c>
      <c r="E482" s="23"/>
      <c r="F482" s="23"/>
      <c r="G482" s="23"/>
      <c r="H482" s="23"/>
      <c r="I482" s="23"/>
      <c r="J482" s="85"/>
    </row>
    <row r="483" spans="1:10" ht="13.9" hidden="1" customHeight="1" x14ac:dyDescent="0.25">
      <c r="A483" s="127"/>
      <c r="B483" s="74"/>
      <c r="C483" s="24" t="s">
        <v>14</v>
      </c>
      <c r="D483" s="23">
        <f t="shared" si="24"/>
        <v>0</v>
      </c>
      <c r="E483" s="23"/>
      <c r="F483" s="23"/>
      <c r="G483" s="23"/>
      <c r="H483" s="23"/>
      <c r="I483" s="23"/>
      <c r="J483" s="85"/>
    </row>
    <row r="484" spans="1:10" hidden="1" x14ac:dyDescent="0.25">
      <c r="A484" s="128"/>
      <c r="B484" s="75"/>
      <c r="C484" s="24" t="s">
        <v>15</v>
      </c>
      <c r="D484" s="23">
        <f t="shared" si="24"/>
        <v>0</v>
      </c>
      <c r="E484" s="23"/>
      <c r="F484" s="23"/>
      <c r="G484" s="23"/>
      <c r="H484" s="23"/>
      <c r="I484" s="23"/>
      <c r="J484" s="86"/>
    </row>
    <row r="485" spans="1:10" ht="13.15" hidden="1" customHeight="1" x14ac:dyDescent="0.25">
      <c r="A485" s="120" t="s">
        <v>161</v>
      </c>
      <c r="B485" s="73" t="s">
        <v>10</v>
      </c>
      <c r="C485" s="24" t="s">
        <v>11</v>
      </c>
      <c r="D485" s="22">
        <f t="shared" si="24"/>
        <v>0</v>
      </c>
      <c r="E485" s="28"/>
      <c r="F485" s="28"/>
      <c r="G485" s="28"/>
      <c r="H485" s="28"/>
      <c r="I485" s="28"/>
      <c r="J485" s="84" t="s">
        <v>69</v>
      </c>
    </row>
    <row r="486" spans="1:10" ht="12.6" hidden="1" customHeight="1" x14ac:dyDescent="0.25">
      <c r="A486" s="121"/>
      <c r="B486" s="74"/>
      <c r="C486" s="24" t="s">
        <v>13</v>
      </c>
      <c r="D486" s="22">
        <f t="shared" si="24"/>
        <v>0</v>
      </c>
      <c r="E486" s="28"/>
      <c r="F486" s="28"/>
      <c r="G486" s="28"/>
      <c r="H486" s="28"/>
      <c r="I486" s="28"/>
      <c r="J486" s="85"/>
    </row>
    <row r="487" spans="1:10" ht="12" hidden="1" customHeight="1" x14ac:dyDescent="0.25">
      <c r="A487" s="121"/>
      <c r="B487" s="74"/>
      <c r="C487" s="24" t="s">
        <v>14</v>
      </c>
      <c r="D487" s="22">
        <f t="shared" si="24"/>
        <v>0</v>
      </c>
      <c r="E487" s="28"/>
      <c r="F487" s="28"/>
      <c r="G487" s="28"/>
      <c r="H487" s="28"/>
      <c r="I487" s="28"/>
      <c r="J487" s="85"/>
    </row>
    <row r="488" spans="1:10" ht="12" hidden="1" customHeight="1" x14ac:dyDescent="0.25">
      <c r="A488" s="122"/>
      <c r="B488" s="75"/>
      <c r="C488" s="24" t="s">
        <v>15</v>
      </c>
      <c r="D488" s="22">
        <f t="shared" si="24"/>
        <v>0</v>
      </c>
      <c r="E488" s="28"/>
      <c r="F488" s="28"/>
      <c r="G488" s="28"/>
      <c r="H488" s="28"/>
      <c r="I488" s="28"/>
      <c r="J488" s="86"/>
    </row>
    <row r="489" spans="1:10" ht="12.6" hidden="1" customHeight="1" x14ac:dyDescent="0.25">
      <c r="A489" s="120" t="s">
        <v>162</v>
      </c>
      <c r="B489" s="73" t="s">
        <v>10</v>
      </c>
      <c r="C489" s="24" t="s">
        <v>11</v>
      </c>
      <c r="D489" s="22">
        <f t="shared" si="24"/>
        <v>0</v>
      </c>
      <c r="E489" s="28"/>
      <c r="F489" s="28"/>
      <c r="G489" s="28"/>
      <c r="H489" s="28"/>
      <c r="I489" s="28"/>
      <c r="J489" s="84" t="s">
        <v>69</v>
      </c>
    </row>
    <row r="490" spans="1:10" ht="13.15" hidden="1" customHeight="1" x14ac:dyDescent="0.25">
      <c r="A490" s="121"/>
      <c r="B490" s="74"/>
      <c r="C490" s="24" t="s">
        <v>13</v>
      </c>
      <c r="D490" s="22">
        <f t="shared" si="24"/>
        <v>0</v>
      </c>
      <c r="E490" s="28"/>
      <c r="F490" s="28"/>
      <c r="G490" s="28"/>
      <c r="H490" s="28"/>
      <c r="I490" s="28"/>
      <c r="J490" s="85"/>
    </row>
    <row r="491" spans="1:10" ht="12.6" hidden="1" customHeight="1" x14ac:dyDescent="0.25">
      <c r="A491" s="121"/>
      <c r="B491" s="74"/>
      <c r="C491" s="24" t="s">
        <v>14</v>
      </c>
      <c r="D491" s="22">
        <f t="shared" si="24"/>
        <v>0</v>
      </c>
      <c r="E491" s="28"/>
      <c r="F491" s="28"/>
      <c r="G491" s="28"/>
      <c r="H491" s="28"/>
      <c r="I491" s="28"/>
      <c r="J491" s="85"/>
    </row>
    <row r="492" spans="1:10" ht="13.9" hidden="1" customHeight="1" x14ac:dyDescent="0.25">
      <c r="A492" s="122"/>
      <c r="B492" s="75"/>
      <c r="C492" s="24" t="s">
        <v>15</v>
      </c>
      <c r="D492" s="22">
        <f t="shared" si="24"/>
        <v>0</v>
      </c>
      <c r="E492" s="28"/>
      <c r="F492" s="28"/>
      <c r="G492" s="28"/>
      <c r="H492" s="28"/>
      <c r="I492" s="28"/>
      <c r="J492" s="86"/>
    </row>
    <row r="493" spans="1:10" ht="13.9" hidden="1" customHeight="1" x14ac:dyDescent="0.25">
      <c r="A493" s="120" t="s">
        <v>163</v>
      </c>
      <c r="B493" s="73" t="s">
        <v>10</v>
      </c>
      <c r="C493" s="24" t="s">
        <v>11</v>
      </c>
      <c r="D493" s="22">
        <f t="shared" si="24"/>
        <v>0</v>
      </c>
      <c r="E493" s="28"/>
      <c r="F493" s="28"/>
      <c r="G493" s="28"/>
      <c r="H493" s="28"/>
      <c r="I493" s="28"/>
      <c r="J493" s="84" t="s">
        <v>70</v>
      </c>
    </row>
    <row r="494" spans="1:10" ht="12" hidden="1" customHeight="1" x14ac:dyDescent="0.25">
      <c r="A494" s="121"/>
      <c r="B494" s="74"/>
      <c r="C494" s="24" t="s">
        <v>13</v>
      </c>
      <c r="D494" s="22">
        <f t="shared" si="24"/>
        <v>0</v>
      </c>
      <c r="E494" s="28"/>
      <c r="F494" s="28"/>
      <c r="G494" s="28"/>
      <c r="H494" s="28"/>
      <c r="I494" s="28"/>
      <c r="J494" s="85"/>
    </row>
    <row r="495" spans="1:10" ht="12.6" hidden="1" customHeight="1" x14ac:dyDescent="0.25">
      <c r="A495" s="121"/>
      <c r="B495" s="74"/>
      <c r="C495" s="24" t="s">
        <v>14</v>
      </c>
      <c r="D495" s="22">
        <f t="shared" si="24"/>
        <v>0</v>
      </c>
      <c r="E495" s="28"/>
      <c r="F495" s="28"/>
      <c r="G495" s="28"/>
      <c r="H495" s="28"/>
      <c r="I495" s="28"/>
      <c r="J495" s="85"/>
    </row>
    <row r="496" spans="1:10" ht="13.15" hidden="1" customHeight="1" x14ac:dyDescent="0.25">
      <c r="A496" s="122"/>
      <c r="B496" s="75"/>
      <c r="C496" s="24" t="s">
        <v>15</v>
      </c>
      <c r="D496" s="22">
        <f t="shared" si="24"/>
        <v>0</v>
      </c>
      <c r="E496" s="28"/>
      <c r="F496" s="28"/>
      <c r="G496" s="28"/>
      <c r="H496" s="28"/>
      <c r="I496" s="28"/>
      <c r="J496" s="86"/>
    </row>
    <row r="497" spans="1:10" ht="12" hidden="1" customHeight="1" x14ac:dyDescent="0.25">
      <c r="A497" s="120" t="s">
        <v>164</v>
      </c>
      <c r="B497" s="73" t="s">
        <v>10</v>
      </c>
      <c r="C497" s="24" t="s">
        <v>11</v>
      </c>
      <c r="D497" s="22">
        <f t="shared" si="24"/>
        <v>0</v>
      </c>
      <c r="E497" s="28"/>
      <c r="F497" s="28"/>
      <c r="G497" s="28"/>
      <c r="H497" s="28"/>
      <c r="I497" s="28"/>
      <c r="J497" s="84" t="s">
        <v>66</v>
      </c>
    </row>
    <row r="498" spans="1:10" ht="13.15" hidden="1" customHeight="1" x14ac:dyDescent="0.25">
      <c r="A498" s="121"/>
      <c r="B498" s="74"/>
      <c r="C498" s="24" t="s">
        <v>13</v>
      </c>
      <c r="D498" s="22">
        <f t="shared" si="24"/>
        <v>0</v>
      </c>
      <c r="E498" s="28"/>
      <c r="F498" s="28"/>
      <c r="G498" s="28"/>
      <c r="H498" s="28"/>
      <c r="I498" s="28"/>
      <c r="J498" s="85"/>
    </row>
    <row r="499" spans="1:10" ht="13.9" hidden="1" customHeight="1" x14ac:dyDescent="0.25">
      <c r="A499" s="121"/>
      <c r="B499" s="74"/>
      <c r="C499" s="24" t="s">
        <v>14</v>
      </c>
      <c r="D499" s="22">
        <f t="shared" si="24"/>
        <v>0</v>
      </c>
      <c r="E499" s="28"/>
      <c r="F499" s="28"/>
      <c r="G499" s="28"/>
      <c r="H499" s="28"/>
      <c r="I499" s="28"/>
      <c r="J499" s="85"/>
    </row>
    <row r="500" spans="1:10" ht="13.15" hidden="1" customHeight="1" x14ac:dyDescent="0.25">
      <c r="A500" s="122"/>
      <c r="B500" s="75"/>
      <c r="C500" s="24" t="s">
        <v>15</v>
      </c>
      <c r="D500" s="22">
        <f t="shared" si="24"/>
        <v>0</v>
      </c>
      <c r="E500" s="28"/>
      <c r="F500" s="28"/>
      <c r="G500" s="28"/>
      <c r="H500" s="28"/>
      <c r="I500" s="28"/>
      <c r="J500" s="86"/>
    </row>
    <row r="501" spans="1:10" ht="13.15" hidden="1" customHeight="1" x14ac:dyDescent="0.25">
      <c r="A501" s="120" t="s">
        <v>165</v>
      </c>
      <c r="B501" s="73" t="s">
        <v>10</v>
      </c>
      <c r="C501" s="24" t="s">
        <v>11</v>
      </c>
      <c r="D501" s="22">
        <f t="shared" si="24"/>
        <v>0</v>
      </c>
      <c r="E501" s="28"/>
      <c r="F501" s="28"/>
      <c r="G501" s="28"/>
      <c r="H501" s="28"/>
      <c r="I501" s="28"/>
      <c r="J501" s="84" t="s">
        <v>37</v>
      </c>
    </row>
    <row r="502" spans="1:10" ht="13.9" hidden="1" customHeight="1" x14ac:dyDescent="0.25">
      <c r="A502" s="121"/>
      <c r="B502" s="74"/>
      <c r="C502" s="24" t="s">
        <v>13</v>
      </c>
      <c r="D502" s="22">
        <f t="shared" si="24"/>
        <v>0</v>
      </c>
      <c r="E502" s="28"/>
      <c r="F502" s="28"/>
      <c r="G502" s="28"/>
      <c r="H502" s="28"/>
      <c r="I502" s="28"/>
      <c r="J502" s="85"/>
    </row>
    <row r="503" spans="1:10" ht="12.6" hidden="1" customHeight="1" x14ac:dyDescent="0.25">
      <c r="A503" s="121"/>
      <c r="B503" s="74"/>
      <c r="C503" s="24" t="s">
        <v>14</v>
      </c>
      <c r="D503" s="22">
        <f t="shared" si="24"/>
        <v>0</v>
      </c>
      <c r="E503" s="28"/>
      <c r="F503" s="28"/>
      <c r="G503" s="28"/>
      <c r="H503" s="28"/>
      <c r="I503" s="28"/>
      <c r="J503" s="85"/>
    </row>
    <row r="504" spans="1:10" ht="13.15" hidden="1" customHeight="1" x14ac:dyDescent="0.25">
      <c r="A504" s="122"/>
      <c r="B504" s="75"/>
      <c r="C504" s="24" t="s">
        <v>15</v>
      </c>
      <c r="D504" s="22">
        <f t="shared" si="24"/>
        <v>0</v>
      </c>
      <c r="E504" s="28"/>
      <c r="F504" s="28"/>
      <c r="G504" s="28"/>
      <c r="H504" s="28"/>
      <c r="I504" s="28"/>
      <c r="J504" s="86"/>
    </row>
    <row r="505" spans="1:10" ht="12" hidden="1" customHeight="1" x14ac:dyDescent="0.25">
      <c r="A505" s="120" t="s">
        <v>166</v>
      </c>
      <c r="B505" s="73" t="s">
        <v>10</v>
      </c>
      <c r="C505" s="24" t="s">
        <v>11</v>
      </c>
      <c r="D505" s="22">
        <f t="shared" si="24"/>
        <v>0</v>
      </c>
      <c r="E505" s="28"/>
      <c r="F505" s="28"/>
      <c r="G505" s="28"/>
      <c r="H505" s="28"/>
      <c r="I505" s="28"/>
      <c r="J505" s="84" t="s">
        <v>69</v>
      </c>
    </row>
    <row r="506" spans="1:10" ht="12" hidden="1" customHeight="1" x14ac:dyDescent="0.25">
      <c r="A506" s="121"/>
      <c r="B506" s="74"/>
      <c r="C506" s="24" t="s">
        <v>13</v>
      </c>
      <c r="D506" s="22">
        <f t="shared" si="24"/>
        <v>0</v>
      </c>
      <c r="E506" s="28"/>
      <c r="F506" s="28"/>
      <c r="G506" s="28"/>
      <c r="H506" s="28"/>
      <c r="I506" s="28"/>
      <c r="J506" s="85"/>
    </row>
    <row r="507" spans="1:10" ht="12" hidden="1" customHeight="1" x14ac:dyDescent="0.25">
      <c r="A507" s="121"/>
      <c r="B507" s="74"/>
      <c r="C507" s="24" t="s">
        <v>14</v>
      </c>
      <c r="D507" s="22">
        <f t="shared" si="24"/>
        <v>0</v>
      </c>
      <c r="E507" s="28"/>
      <c r="F507" s="28"/>
      <c r="G507" s="28"/>
      <c r="H507" s="28"/>
      <c r="I507" s="28"/>
      <c r="J507" s="85"/>
    </row>
    <row r="508" spans="1:10" ht="12" hidden="1" customHeight="1" x14ac:dyDescent="0.25">
      <c r="A508" s="122"/>
      <c r="B508" s="75"/>
      <c r="C508" s="24" t="s">
        <v>15</v>
      </c>
      <c r="D508" s="22">
        <f t="shared" si="24"/>
        <v>0</v>
      </c>
      <c r="E508" s="28"/>
      <c r="F508" s="28"/>
      <c r="G508" s="28"/>
      <c r="H508" s="28"/>
      <c r="I508" s="28"/>
      <c r="J508" s="86"/>
    </row>
    <row r="509" spans="1:10" ht="12.6" hidden="1" customHeight="1" x14ac:dyDescent="0.25">
      <c r="A509" s="120" t="s">
        <v>167</v>
      </c>
      <c r="B509" s="73" t="s">
        <v>10</v>
      </c>
      <c r="C509" s="24" t="s">
        <v>11</v>
      </c>
      <c r="D509" s="22">
        <f t="shared" ref="D509:D572" si="25">SUM(E509:I509)</f>
        <v>0</v>
      </c>
      <c r="E509" s="28"/>
      <c r="F509" s="28"/>
      <c r="G509" s="28"/>
      <c r="H509" s="28"/>
      <c r="I509" s="28"/>
      <c r="J509" s="84" t="s">
        <v>69</v>
      </c>
    </row>
    <row r="510" spans="1:10" ht="13.15" hidden="1" customHeight="1" x14ac:dyDescent="0.25">
      <c r="A510" s="121"/>
      <c r="B510" s="74"/>
      <c r="C510" s="24" t="s">
        <v>13</v>
      </c>
      <c r="D510" s="22">
        <f t="shared" si="25"/>
        <v>0</v>
      </c>
      <c r="E510" s="28"/>
      <c r="F510" s="28"/>
      <c r="G510" s="28"/>
      <c r="H510" s="28"/>
      <c r="I510" s="28"/>
      <c r="J510" s="85"/>
    </row>
    <row r="511" spans="1:10" ht="12" hidden="1" customHeight="1" x14ac:dyDescent="0.25">
      <c r="A511" s="121"/>
      <c r="B511" s="74"/>
      <c r="C511" s="24" t="s">
        <v>14</v>
      </c>
      <c r="D511" s="22">
        <f t="shared" si="25"/>
        <v>0</v>
      </c>
      <c r="E511" s="28"/>
      <c r="F511" s="28"/>
      <c r="G511" s="28"/>
      <c r="H511" s="28"/>
      <c r="I511" s="28"/>
      <c r="J511" s="85"/>
    </row>
    <row r="512" spans="1:10" ht="13.9" hidden="1" customHeight="1" x14ac:dyDescent="0.25">
      <c r="A512" s="122"/>
      <c r="B512" s="75"/>
      <c r="C512" s="24" t="s">
        <v>15</v>
      </c>
      <c r="D512" s="22">
        <f t="shared" si="25"/>
        <v>0</v>
      </c>
      <c r="E512" s="28"/>
      <c r="F512" s="28"/>
      <c r="G512" s="28"/>
      <c r="H512" s="28"/>
      <c r="I512" s="28"/>
      <c r="J512" s="86"/>
    </row>
    <row r="513" spans="1:10" ht="13.9" hidden="1" customHeight="1" x14ac:dyDescent="0.25">
      <c r="A513" s="120" t="s">
        <v>168</v>
      </c>
      <c r="B513" s="73" t="s">
        <v>10</v>
      </c>
      <c r="C513" s="24" t="s">
        <v>11</v>
      </c>
      <c r="D513" s="22">
        <f t="shared" si="25"/>
        <v>0</v>
      </c>
      <c r="E513" s="28"/>
      <c r="F513" s="28"/>
      <c r="G513" s="28"/>
      <c r="H513" s="28"/>
      <c r="I513" s="28"/>
      <c r="J513" s="84" t="s">
        <v>66</v>
      </c>
    </row>
    <row r="514" spans="1:10" ht="13.9" hidden="1" customHeight="1" x14ac:dyDescent="0.25">
      <c r="A514" s="121"/>
      <c r="B514" s="74"/>
      <c r="C514" s="24" t="s">
        <v>13</v>
      </c>
      <c r="D514" s="22">
        <f t="shared" si="25"/>
        <v>0</v>
      </c>
      <c r="E514" s="28"/>
      <c r="F514" s="28"/>
      <c r="G514" s="28"/>
      <c r="H514" s="28"/>
      <c r="I514" s="28"/>
      <c r="J514" s="85"/>
    </row>
    <row r="515" spans="1:10" ht="13.15" hidden="1" customHeight="1" x14ac:dyDescent="0.25">
      <c r="A515" s="121"/>
      <c r="B515" s="74"/>
      <c r="C515" s="24" t="s">
        <v>14</v>
      </c>
      <c r="D515" s="22">
        <f t="shared" si="25"/>
        <v>0</v>
      </c>
      <c r="E515" s="28"/>
      <c r="F515" s="28"/>
      <c r="G515" s="28"/>
      <c r="H515" s="28"/>
      <c r="I515" s="28"/>
      <c r="J515" s="85"/>
    </row>
    <row r="516" spans="1:10" ht="13.15" hidden="1" customHeight="1" x14ac:dyDescent="0.25">
      <c r="A516" s="122"/>
      <c r="B516" s="75"/>
      <c r="C516" s="24" t="s">
        <v>15</v>
      </c>
      <c r="D516" s="22">
        <f t="shared" si="25"/>
        <v>0</v>
      </c>
      <c r="E516" s="28"/>
      <c r="F516" s="28"/>
      <c r="G516" s="28"/>
      <c r="H516" s="28"/>
      <c r="I516" s="28"/>
      <c r="J516" s="86"/>
    </row>
    <row r="517" spans="1:10" ht="13.15" hidden="1" customHeight="1" x14ac:dyDescent="0.25">
      <c r="A517" s="120" t="s">
        <v>169</v>
      </c>
      <c r="B517" s="73" t="s">
        <v>10</v>
      </c>
      <c r="C517" s="24" t="s">
        <v>11</v>
      </c>
      <c r="D517" s="22">
        <f t="shared" si="25"/>
        <v>0</v>
      </c>
      <c r="E517" s="28"/>
      <c r="F517" s="28"/>
      <c r="G517" s="28"/>
      <c r="H517" s="28"/>
      <c r="I517" s="28"/>
      <c r="J517" s="84" t="s">
        <v>37</v>
      </c>
    </row>
    <row r="518" spans="1:10" ht="13.15" hidden="1" customHeight="1" x14ac:dyDescent="0.25">
      <c r="A518" s="121"/>
      <c r="B518" s="74"/>
      <c r="C518" s="24" t="s">
        <v>13</v>
      </c>
      <c r="D518" s="22">
        <f t="shared" si="25"/>
        <v>0</v>
      </c>
      <c r="E518" s="28"/>
      <c r="F518" s="28"/>
      <c r="G518" s="28"/>
      <c r="H518" s="28"/>
      <c r="I518" s="28"/>
      <c r="J518" s="85"/>
    </row>
    <row r="519" spans="1:10" ht="13.15" hidden="1" customHeight="1" x14ac:dyDescent="0.25">
      <c r="A519" s="121"/>
      <c r="B519" s="74"/>
      <c r="C519" s="24" t="s">
        <v>14</v>
      </c>
      <c r="D519" s="22">
        <f t="shared" si="25"/>
        <v>0</v>
      </c>
      <c r="E519" s="28"/>
      <c r="F519" s="28"/>
      <c r="G519" s="28"/>
      <c r="H519" s="28"/>
      <c r="I519" s="28"/>
      <c r="J519" s="85"/>
    </row>
    <row r="520" spans="1:10" ht="13.15" hidden="1" customHeight="1" x14ac:dyDescent="0.25">
      <c r="A520" s="122"/>
      <c r="B520" s="75"/>
      <c r="C520" s="24" t="s">
        <v>15</v>
      </c>
      <c r="D520" s="22">
        <f t="shared" si="25"/>
        <v>0</v>
      </c>
      <c r="E520" s="28"/>
      <c r="F520" s="28"/>
      <c r="G520" s="28"/>
      <c r="H520" s="28"/>
      <c r="I520" s="28"/>
      <c r="J520" s="86"/>
    </row>
    <row r="521" spans="1:10" ht="14.45" hidden="1" customHeight="1" x14ac:dyDescent="0.25">
      <c r="A521" s="120" t="s">
        <v>170</v>
      </c>
      <c r="B521" s="73" t="s">
        <v>10</v>
      </c>
      <c r="C521" s="24" t="s">
        <v>11</v>
      </c>
      <c r="D521" s="22">
        <f t="shared" si="25"/>
        <v>0</v>
      </c>
      <c r="E521" s="28"/>
      <c r="F521" s="28"/>
      <c r="G521" s="28"/>
      <c r="H521" s="28"/>
      <c r="I521" s="28"/>
      <c r="J521" s="84" t="s">
        <v>66</v>
      </c>
    </row>
    <row r="522" spans="1:10" ht="15" hidden="1" customHeight="1" x14ac:dyDescent="0.25">
      <c r="A522" s="121"/>
      <c r="B522" s="74"/>
      <c r="C522" s="24" t="s">
        <v>13</v>
      </c>
      <c r="D522" s="22">
        <f t="shared" si="25"/>
        <v>0</v>
      </c>
      <c r="E522" s="28"/>
      <c r="F522" s="28"/>
      <c r="G522" s="28"/>
      <c r="H522" s="28"/>
      <c r="I522" s="28"/>
      <c r="J522" s="85"/>
    </row>
    <row r="523" spans="1:10" ht="13.9" hidden="1" customHeight="1" x14ac:dyDescent="0.25">
      <c r="A523" s="121"/>
      <c r="B523" s="74"/>
      <c r="C523" s="24" t="s">
        <v>14</v>
      </c>
      <c r="D523" s="22">
        <f t="shared" si="25"/>
        <v>0</v>
      </c>
      <c r="E523" s="28"/>
      <c r="F523" s="28"/>
      <c r="G523" s="28"/>
      <c r="H523" s="28"/>
      <c r="I523" s="28"/>
      <c r="J523" s="85"/>
    </row>
    <row r="524" spans="1:10" ht="13.9" hidden="1" customHeight="1" x14ac:dyDescent="0.25">
      <c r="A524" s="122"/>
      <c r="B524" s="75"/>
      <c r="C524" s="24" t="s">
        <v>15</v>
      </c>
      <c r="D524" s="22">
        <f t="shared" si="25"/>
        <v>0</v>
      </c>
      <c r="E524" s="28"/>
      <c r="F524" s="28"/>
      <c r="G524" s="28"/>
      <c r="H524" s="28"/>
      <c r="I524" s="28"/>
      <c r="J524" s="86"/>
    </row>
    <row r="525" spans="1:10" ht="13.15" hidden="1" customHeight="1" x14ac:dyDescent="0.25">
      <c r="A525" s="120" t="s">
        <v>171</v>
      </c>
      <c r="B525" s="73" t="s">
        <v>10</v>
      </c>
      <c r="C525" s="24" t="s">
        <v>11</v>
      </c>
      <c r="D525" s="22">
        <f t="shared" si="25"/>
        <v>0</v>
      </c>
      <c r="E525" s="28"/>
      <c r="F525" s="28"/>
      <c r="G525" s="28"/>
      <c r="H525" s="28"/>
      <c r="I525" s="28"/>
      <c r="J525" s="84" t="s">
        <v>65</v>
      </c>
    </row>
    <row r="526" spans="1:10" ht="12" hidden="1" customHeight="1" x14ac:dyDescent="0.25">
      <c r="A526" s="121"/>
      <c r="B526" s="74"/>
      <c r="C526" s="24" t="s">
        <v>13</v>
      </c>
      <c r="D526" s="22">
        <f t="shared" si="25"/>
        <v>0</v>
      </c>
      <c r="E526" s="28"/>
      <c r="F526" s="28"/>
      <c r="G526" s="28"/>
      <c r="H526" s="28"/>
      <c r="I526" s="28"/>
      <c r="J526" s="85"/>
    </row>
    <row r="527" spans="1:10" ht="12.6" hidden="1" customHeight="1" x14ac:dyDescent="0.25">
      <c r="A527" s="121"/>
      <c r="B527" s="74"/>
      <c r="C527" s="24" t="s">
        <v>14</v>
      </c>
      <c r="D527" s="22">
        <f t="shared" si="25"/>
        <v>0</v>
      </c>
      <c r="E527" s="28"/>
      <c r="F527" s="28"/>
      <c r="G527" s="28"/>
      <c r="H527" s="28"/>
      <c r="I527" s="28"/>
      <c r="J527" s="85"/>
    </row>
    <row r="528" spans="1:10" ht="13.15" hidden="1" customHeight="1" x14ac:dyDescent="0.25">
      <c r="A528" s="122"/>
      <c r="B528" s="75"/>
      <c r="C528" s="24" t="s">
        <v>15</v>
      </c>
      <c r="D528" s="22">
        <f t="shared" si="25"/>
        <v>0</v>
      </c>
      <c r="E528" s="28"/>
      <c r="F528" s="28"/>
      <c r="G528" s="28"/>
      <c r="H528" s="28"/>
      <c r="I528" s="28"/>
      <c r="J528" s="86"/>
    </row>
    <row r="529" spans="1:10" ht="13.15" hidden="1" customHeight="1" x14ac:dyDescent="0.25">
      <c r="A529" s="120" t="s">
        <v>125</v>
      </c>
      <c r="B529" s="73" t="s">
        <v>10</v>
      </c>
      <c r="C529" s="24" t="s">
        <v>11</v>
      </c>
      <c r="D529" s="22">
        <f t="shared" si="25"/>
        <v>0</v>
      </c>
      <c r="E529" s="22"/>
      <c r="F529" s="22"/>
      <c r="G529" s="22"/>
      <c r="H529" s="22"/>
      <c r="I529" s="22"/>
      <c r="J529" s="84" t="s">
        <v>69</v>
      </c>
    </row>
    <row r="530" spans="1:10" ht="13.15" hidden="1" customHeight="1" x14ac:dyDescent="0.25">
      <c r="A530" s="121"/>
      <c r="B530" s="74"/>
      <c r="C530" s="24" t="s">
        <v>13</v>
      </c>
      <c r="D530" s="22">
        <f t="shared" si="25"/>
        <v>0</v>
      </c>
      <c r="E530" s="22"/>
      <c r="F530" s="22"/>
      <c r="G530" s="22"/>
      <c r="H530" s="22"/>
      <c r="I530" s="22"/>
      <c r="J530" s="85"/>
    </row>
    <row r="531" spans="1:10" ht="13.15" hidden="1" customHeight="1" x14ac:dyDescent="0.25">
      <c r="A531" s="121"/>
      <c r="B531" s="74"/>
      <c r="C531" s="24" t="s">
        <v>14</v>
      </c>
      <c r="D531" s="22">
        <f t="shared" si="25"/>
        <v>0</v>
      </c>
      <c r="E531" s="22"/>
      <c r="F531" s="22"/>
      <c r="G531" s="22"/>
      <c r="H531" s="22"/>
      <c r="I531" s="22"/>
      <c r="J531" s="85"/>
    </row>
    <row r="532" spans="1:10" hidden="1" x14ac:dyDescent="0.25">
      <c r="A532" s="122"/>
      <c r="B532" s="75"/>
      <c r="C532" s="24" t="s">
        <v>15</v>
      </c>
      <c r="D532" s="22">
        <f t="shared" si="25"/>
        <v>0</v>
      </c>
      <c r="E532" s="22"/>
      <c r="F532" s="22"/>
      <c r="G532" s="22"/>
      <c r="H532" s="22"/>
      <c r="I532" s="22"/>
      <c r="J532" s="86"/>
    </row>
    <row r="533" spans="1:10" ht="13.15" hidden="1" customHeight="1" x14ac:dyDescent="0.25">
      <c r="A533" s="120" t="s">
        <v>172</v>
      </c>
      <c r="B533" s="73" t="s">
        <v>10</v>
      </c>
      <c r="C533" s="24" t="s">
        <v>11</v>
      </c>
      <c r="D533" s="22">
        <f t="shared" si="25"/>
        <v>0</v>
      </c>
      <c r="E533" s="22">
        <f>SUM(E534:E536)</f>
        <v>0</v>
      </c>
      <c r="F533" s="22">
        <f>SUM(F534:F536)</f>
        <v>0</v>
      </c>
      <c r="G533" s="22"/>
      <c r="H533" s="22"/>
      <c r="I533" s="22"/>
      <c r="J533" s="84" t="s">
        <v>66</v>
      </c>
    </row>
    <row r="534" spans="1:10" ht="12.75" hidden="1" customHeight="1" x14ac:dyDescent="0.25">
      <c r="A534" s="121"/>
      <c r="B534" s="74"/>
      <c r="C534" s="24" t="s">
        <v>13</v>
      </c>
      <c r="D534" s="22">
        <f t="shared" si="25"/>
        <v>0</v>
      </c>
      <c r="E534" s="22">
        <v>0</v>
      </c>
      <c r="F534" s="22">
        <v>0</v>
      </c>
      <c r="G534" s="22"/>
      <c r="H534" s="22"/>
      <c r="I534" s="22"/>
      <c r="J534" s="85"/>
    </row>
    <row r="535" spans="1:10" ht="13.15" hidden="1" customHeight="1" x14ac:dyDescent="0.25">
      <c r="A535" s="121"/>
      <c r="B535" s="74"/>
      <c r="C535" s="24" t="s">
        <v>14</v>
      </c>
      <c r="D535" s="22">
        <f t="shared" si="25"/>
        <v>0</v>
      </c>
      <c r="E535" s="22">
        <v>0</v>
      </c>
      <c r="F535" s="22">
        <v>0</v>
      </c>
      <c r="G535" s="22"/>
      <c r="H535" s="22"/>
      <c r="I535" s="22"/>
      <c r="J535" s="85"/>
    </row>
    <row r="536" spans="1:10" ht="12.6" hidden="1" customHeight="1" x14ac:dyDescent="0.25">
      <c r="A536" s="122"/>
      <c r="B536" s="75"/>
      <c r="C536" s="24" t="s">
        <v>15</v>
      </c>
      <c r="D536" s="22">
        <f t="shared" si="25"/>
        <v>0</v>
      </c>
      <c r="E536" s="22">
        <v>0</v>
      </c>
      <c r="F536" s="22">
        <f>50000-50000</f>
        <v>0</v>
      </c>
      <c r="G536" s="22"/>
      <c r="H536" s="22"/>
      <c r="I536" s="22"/>
      <c r="J536" s="86"/>
    </row>
    <row r="537" spans="1:10" ht="14.45" hidden="1" customHeight="1" x14ac:dyDescent="0.25">
      <c r="A537" s="120" t="s">
        <v>173</v>
      </c>
      <c r="B537" s="73" t="s">
        <v>10</v>
      </c>
      <c r="C537" s="24" t="s">
        <v>11</v>
      </c>
      <c r="D537" s="22">
        <f t="shared" si="25"/>
        <v>0</v>
      </c>
      <c r="E537" s="22"/>
      <c r="F537" s="22"/>
      <c r="G537" s="22"/>
      <c r="H537" s="22"/>
      <c r="I537" s="22"/>
      <c r="J537" s="84" t="s">
        <v>69</v>
      </c>
    </row>
    <row r="538" spans="1:10" ht="14.45" hidden="1" customHeight="1" x14ac:dyDescent="0.25">
      <c r="A538" s="121"/>
      <c r="B538" s="74"/>
      <c r="C538" s="24" t="s">
        <v>13</v>
      </c>
      <c r="D538" s="22">
        <f t="shared" si="25"/>
        <v>0</v>
      </c>
      <c r="E538" s="22"/>
      <c r="F538" s="22"/>
      <c r="G538" s="22"/>
      <c r="H538" s="22"/>
      <c r="I538" s="22"/>
      <c r="J538" s="85"/>
    </row>
    <row r="539" spans="1:10" hidden="1" x14ac:dyDescent="0.25">
      <c r="A539" s="121"/>
      <c r="B539" s="74"/>
      <c r="C539" s="24" t="s">
        <v>14</v>
      </c>
      <c r="D539" s="22">
        <f t="shared" si="25"/>
        <v>0</v>
      </c>
      <c r="E539" s="22"/>
      <c r="F539" s="22"/>
      <c r="G539" s="22"/>
      <c r="H539" s="22"/>
      <c r="I539" s="22"/>
      <c r="J539" s="85"/>
    </row>
    <row r="540" spans="1:10" ht="12.6" hidden="1" customHeight="1" x14ac:dyDescent="0.25">
      <c r="A540" s="122"/>
      <c r="B540" s="75"/>
      <c r="C540" s="24" t="s">
        <v>15</v>
      </c>
      <c r="D540" s="22">
        <f t="shared" si="25"/>
        <v>0</v>
      </c>
      <c r="E540" s="22"/>
      <c r="F540" s="22"/>
      <c r="G540" s="22"/>
      <c r="H540" s="22"/>
      <c r="I540" s="22"/>
      <c r="J540" s="86"/>
    </row>
    <row r="541" spans="1:10" ht="13.15" customHeight="1" x14ac:dyDescent="0.25">
      <c r="A541" s="97" t="s">
        <v>232</v>
      </c>
      <c r="B541" s="73" t="s">
        <v>10</v>
      </c>
      <c r="C541" s="24" t="s">
        <v>11</v>
      </c>
      <c r="D541" s="22">
        <f t="shared" si="25"/>
        <v>104536.8</v>
      </c>
      <c r="E541" s="22">
        <f>SUM(E542:E544)</f>
        <v>104536.8</v>
      </c>
      <c r="F541" s="22"/>
      <c r="G541" s="22"/>
      <c r="H541" s="22"/>
      <c r="I541" s="22"/>
      <c r="J541" s="84" t="s">
        <v>68</v>
      </c>
    </row>
    <row r="542" spans="1:10" ht="12.6" customHeight="1" x14ac:dyDescent="0.25">
      <c r="A542" s="98"/>
      <c r="B542" s="74"/>
      <c r="C542" s="24" t="s">
        <v>13</v>
      </c>
      <c r="D542" s="22">
        <f t="shared" si="25"/>
        <v>0</v>
      </c>
      <c r="E542" s="22">
        <v>0</v>
      </c>
      <c r="F542" s="22"/>
      <c r="G542" s="22"/>
      <c r="H542" s="22"/>
      <c r="I542" s="22"/>
      <c r="J542" s="85"/>
    </row>
    <row r="543" spans="1:10" ht="12" customHeight="1" x14ac:dyDescent="0.25">
      <c r="A543" s="98"/>
      <c r="B543" s="74"/>
      <c r="C543" s="24" t="s">
        <v>14</v>
      </c>
      <c r="D543" s="22">
        <f t="shared" si="25"/>
        <v>0</v>
      </c>
      <c r="E543" s="22">
        <v>0</v>
      </c>
      <c r="F543" s="22"/>
      <c r="G543" s="22"/>
      <c r="H543" s="22"/>
      <c r="I543" s="22"/>
      <c r="J543" s="85"/>
    </row>
    <row r="544" spans="1:10" ht="13.15" customHeight="1" x14ac:dyDescent="0.25">
      <c r="A544" s="99"/>
      <c r="B544" s="75"/>
      <c r="C544" s="24" t="s">
        <v>15</v>
      </c>
      <c r="D544" s="22">
        <f t="shared" si="25"/>
        <v>104536.8</v>
      </c>
      <c r="E544" s="22">
        <v>104536.8</v>
      </c>
      <c r="F544" s="22"/>
      <c r="G544" s="22"/>
      <c r="H544" s="22"/>
      <c r="I544" s="22"/>
      <c r="J544" s="86"/>
    </row>
    <row r="545" spans="1:10" ht="12.6" customHeight="1" x14ac:dyDescent="0.25">
      <c r="A545" s="97" t="s">
        <v>233</v>
      </c>
      <c r="B545" s="73" t="s">
        <v>10</v>
      </c>
      <c r="C545" s="24" t="s">
        <v>11</v>
      </c>
      <c r="D545" s="22">
        <f t="shared" si="25"/>
        <v>1210760.1399999999</v>
      </c>
      <c r="E545" s="22">
        <f>SUM(E546:E548)</f>
        <v>1210760.1399999999</v>
      </c>
      <c r="F545" s="22"/>
      <c r="G545" s="22"/>
      <c r="H545" s="22"/>
      <c r="I545" s="22"/>
      <c r="J545" s="84" t="s">
        <v>69</v>
      </c>
    </row>
    <row r="546" spans="1:10" ht="13.15" customHeight="1" x14ac:dyDescent="0.25">
      <c r="A546" s="98"/>
      <c r="B546" s="74"/>
      <c r="C546" s="24" t="s">
        <v>13</v>
      </c>
      <c r="D546" s="22">
        <f t="shared" si="25"/>
        <v>0</v>
      </c>
      <c r="E546" s="22">
        <v>0</v>
      </c>
      <c r="F546" s="22"/>
      <c r="G546" s="22"/>
      <c r="H546" s="22"/>
      <c r="I546" s="22"/>
      <c r="J546" s="85"/>
    </row>
    <row r="547" spans="1:10" ht="13.15" customHeight="1" x14ac:dyDescent="0.25">
      <c r="A547" s="98"/>
      <c r="B547" s="74"/>
      <c r="C547" s="24" t="s">
        <v>14</v>
      </c>
      <c r="D547" s="22">
        <f t="shared" si="25"/>
        <v>1210760.1399999999</v>
      </c>
      <c r="E547" s="22">
        <f>1231411.4-20651.26</f>
        <v>1210760.1399999999</v>
      </c>
      <c r="F547" s="22"/>
      <c r="G547" s="22"/>
      <c r="H547" s="22"/>
      <c r="I547" s="22"/>
      <c r="J547" s="85"/>
    </row>
    <row r="548" spans="1:10" ht="13.15" customHeight="1" x14ac:dyDescent="0.25">
      <c r="A548" s="99"/>
      <c r="B548" s="75"/>
      <c r="C548" s="24" t="s">
        <v>15</v>
      </c>
      <c r="D548" s="22">
        <f t="shared" si="25"/>
        <v>0</v>
      </c>
      <c r="E548" s="22">
        <v>0</v>
      </c>
      <c r="F548" s="22"/>
      <c r="G548" s="22"/>
      <c r="H548" s="22"/>
      <c r="I548" s="22"/>
      <c r="J548" s="86"/>
    </row>
    <row r="549" spans="1:10" ht="13.15" customHeight="1" x14ac:dyDescent="0.25">
      <c r="A549" s="97" t="s">
        <v>234</v>
      </c>
      <c r="B549" s="73" t="s">
        <v>10</v>
      </c>
      <c r="C549" s="33" t="s">
        <v>11</v>
      </c>
      <c r="D549" s="22">
        <f t="shared" si="25"/>
        <v>87744.75</v>
      </c>
      <c r="E549" s="22"/>
      <c r="F549" s="22">
        <f>SUM(F550:F552)</f>
        <v>87744.75</v>
      </c>
      <c r="G549" s="22"/>
      <c r="H549" s="22"/>
      <c r="I549" s="22"/>
      <c r="J549" s="84" t="s">
        <v>69</v>
      </c>
    </row>
    <row r="550" spans="1:10" ht="13.15" customHeight="1" x14ac:dyDescent="0.25">
      <c r="A550" s="98"/>
      <c r="B550" s="74"/>
      <c r="C550" s="33" t="s">
        <v>13</v>
      </c>
      <c r="D550" s="22">
        <f t="shared" si="25"/>
        <v>0</v>
      </c>
      <c r="E550" s="22"/>
      <c r="F550" s="22">
        <v>0</v>
      </c>
      <c r="G550" s="22"/>
      <c r="H550" s="22"/>
      <c r="I550" s="22"/>
      <c r="J550" s="85"/>
    </row>
    <row r="551" spans="1:10" ht="13.15" customHeight="1" x14ac:dyDescent="0.25">
      <c r="A551" s="98"/>
      <c r="B551" s="74"/>
      <c r="C551" s="33" t="s">
        <v>14</v>
      </c>
      <c r="D551" s="22">
        <f t="shared" si="25"/>
        <v>0</v>
      </c>
      <c r="E551" s="22"/>
      <c r="F551" s="22">
        <v>0</v>
      </c>
      <c r="G551" s="22"/>
      <c r="H551" s="22"/>
      <c r="I551" s="22"/>
      <c r="J551" s="85"/>
    </row>
    <row r="552" spans="1:10" ht="13.15" customHeight="1" x14ac:dyDescent="0.25">
      <c r="A552" s="99"/>
      <c r="B552" s="75"/>
      <c r="C552" s="33" t="s">
        <v>15</v>
      </c>
      <c r="D552" s="22">
        <f t="shared" si="25"/>
        <v>87744.75</v>
      </c>
      <c r="E552" s="22"/>
      <c r="F552" s="22">
        <f>117309.78-24193.89-4270-1101.14</f>
        <v>87744.75</v>
      </c>
      <c r="G552" s="22"/>
      <c r="H552" s="22"/>
      <c r="I552" s="22"/>
      <c r="J552" s="86"/>
    </row>
    <row r="553" spans="1:10" ht="13.15" customHeight="1" x14ac:dyDescent="0.25">
      <c r="A553" s="97" t="s">
        <v>235</v>
      </c>
      <c r="B553" s="73" t="s">
        <v>10</v>
      </c>
      <c r="C553" s="33" t="s">
        <v>11</v>
      </c>
      <c r="D553" s="22">
        <f t="shared" si="25"/>
        <v>61322.76</v>
      </c>
      <c r="E553" s="22"/>
      <c r="F553" s="22">
        <f>SUM(F554:F556)</f>
        <v>61322.76</v>
      </c>
      <c r="G553" s="22"/>
      <c r="H553" s="22"/>
      <c r="I553" s="22"/>
      <c r="J553" s="84" t="s">
        <v>69</v>
      </c>
    </row>
    <row r="554" spans="1:10" ht="13.15" customHeight="1" x14ac:dyDescent="0.25">
      <c r="A554" s="98"/>
      <c r="B554" s="74"/>
      <c r="C554" s="33" t="s">
        <v>13</v>
      </c>
      <c r="D554" s="22">
        <f t="shared" si="25"/>
        <v>0</v>
      </c>
      <c r="E554" s="22"/>
      <c r="F554" s="22">
        <v>0</v>
      </c>
      <c r="G554" s="22"/>
      <c r="H554" s="22"/>
      <c r="I554" s="22"/>
      <c r="J554" s="85"/>
    </row>
    <row r="555" spans="1:10" ht="13.15" customHeight="1" x14ac:dyDescent="0.25">
      <c r="A555" s="98"/>
      <c r="B555" s="74"/>
      <c r="C555" s="33" t="s">
        <v>14</v>
      </c>
      <c r="D555" s="22">
        <f t="shared" si="25"/>
        <v>0</v>
      </c>
      <c r="E555" s="22"/>
      <c r="F555" s="22">
        <v>0</v>
      </c>
      <c r="G555" s="22"/>
      <c r="H555" s="22"/>
      <c r="I555" s="22"/>
      <c r="J555" s="85"/>
    </row>
    <row r="556" spans="1:10" ht="13.15" customHeight="1" x14ac:dyDescent="0.25">
      <c r="A556" s="99"/>
      <c r="B556" s="75"/>
      <c r="C556" s="33" t="s">
        <v>15</v>
      </c>
      <c r="D556" s="22">
        <f t="shared" si="25"/>
        <v>61322.76</v>
      </c>
      <c r="E556" s="22"/>
      <c r="F556" s="22">
        <f>62308.05-985.29</f>
        <v>61322.76</v>
      </c>
      <c r="G556" s="22"/>
      <c r="H556" s="22"/>
      <c r="I556" s="22"/>
      <c r="J556" s="86"/>
    </row>
    <row r="557" spans="1:10" ht="13.15" customHeight="1" x14ac:dyDescent="0.25">
      <c r="A557" s="97" t="s">
        <v>236</v>
      </c>
      <c r="B557" s="73" t="s">
        <v>10</v>
      </c>
      <c r="C557" s="33" t="s">
        <v>11</v>
      </c>
      <c r="D557" s="22">
        <f t="shared" si="25"/>
        <v>99322.74</v>
      </c>
      <c r="E557" s="22"/>
      <c r="F557" s="22">
        <f>SUM(F558:F560)</f>
        <v>99322.74</v>
      </c>
      <c r="G557" s="22"/>
      <c r="H557" s="22"/>
      <c r="I557" s="22"/>
      <c r="J557" s="84" t="s">
        <v>69</v>
      </c>
    </row>
    <row r="558" spans="1:10" ht="13.15" customHeight="1" x14ac:dyDescent="0.25">
      <c r="A558" s="98"/>
      <c r="B558" s="74"/>
      <c r="C558" s="33" t="s">
        <v>13</v>
      </c>
      <c r="D558" s="22">
        <f t="shared" si="25"/>
        <v>0</v>
      </c>
      <c r="E558" s="22"/>
      <c r="F558" s="22">
        <v>0</v>
      </c>
      <c r="G558" s="22"/>
      <c r="H558" s="22"/>
      <c r="I558" s="22"/>
      <c r="J558" s="85"/>
    </row>
    <row r="559" spans="1:10" ht="13.15" customHeight="1" x14ac:dyDescent="0.25">
      <c r="A559" s="98"/>
      <c r="B559" s="74"/>
      <c r="C559" s="33" t="s">
        <v>14</v>
      </c>
      <c r="D559" s="22">
        <f t="shared" si="25"/>
        <v>0</v>
      </c>
      <c r="E559" s="22"/>
      <c r="F559" s="22">
        <v>0</v>
      </c>
      <c r="G559" s="22"/>
      <c r="H559" s="22"/>
      <c r="I559" s="22"/>
      <c r="J559" s="85"/>
    </row>
    <row r="560" spans="1:10" ht="13.15" customHeight="1" x14ac:dyDescent="0.25">
      <c r="A560" s="99"/>
      <c r="B560" s="75"/>
      <c r="C560" s="33" t="s">
        <v>15</v>
      </c>
      <c r="D560" s="22">
        <f t="shared" si="25"/>
        <v>99322.74</v>
      </c>
      <c r="E560" s="22"/>
      <c r="F560" s="22">
        <f>82579.33+19961.25+0.7-3218.54</f>
        <v>99322.74</v>
      </c>
      <c r="G560" s="22"/>
      <c r="H560" s="22"/>
      <c r="I560" s="22"/>
      <c r="J560" s="86"/>
    </row>
    <row r="561" spans="1:10" ht="13.15" customHeight="1" x14ac:dyDescent="0.25">
      <c r="A561" s="97" t="s">
        <v>237</v>
      </c>
      <c r="B561" s="73" t="s">
        <v>10</v>
      </c>
      <c r="C561" s="34" t="s">
        <v>11</v>
      </c>
      <c r="D561" s="22">
        <f t="shared" si="25"/>
        <v>599912.4</v>
      </c>
      <c r="E561" s="22">
        <f>SUM(E562:E564)</f>
        <v>599912.4</v>
      </c>
      <c r="F561" s="22"/>
      <c r="G561" s="22"/>
      <c r="H561" s="22"/>
      <c r="I561" s="22"/>
      <c r="J561" s="84" t="s">
        <v>65</v>
      </c>
    </row>
    <row r="562" spans="1:10" ht="13.15" customHeight="1" x14ac:dyDescent="0.25">
      <c r="A562" s="98"/>
      <c r="B562" s="74"/>
      <c r="C562" s="34" t="s">
        <v>13</v>
      </c>
      <c r="D562" s="22">
        <f t="shared" si="25"/>
        <v>0</v>
      </c>
      <c r="E562" s="22">
        <v>0</v>
      </c>
      <c r="F562" s="22"/>
      <c r="G562" s="22"/>
      <c r="H562" s="22"/>
      <c r="I562" s="22"/>
      <c r="J562" s="85"/>
    </row>
    <row r="563" spans="1:10" ht="13.15" customHeight="1" x14ac:dyDescent="0.25">
      <c r="A563" s="98"/>
      <c r="B563" s="74"/>
      <c r="C563" s="34" t="s">
        <v>14</v>
      </c>
      <c r="D563" s="22">
        <f t="shared" si="25"/>
        <v>599912.4</v>
      </c>
      <c r="E563" s="22">
        <v>599912.4</v>
      </c>
      <c r="F563" s="22"/>
      <c r="G563" s="22"/>
      <c r="H563" s="22"/>
      <c r="I563" s="22"/>
      <c r="J563" s="85"/>
    </row>
    <row r="564" spans="1:10" ht="13.15" customHeight="1" x14ac:dyDescent="0.25">
      <c r="A564" s="99"/>
      <c r="B564" s="75"/>
      <c r="C564" s="34" t="s">
        <v>15</v>
      </c>
      <c r="D564" s="22">
        <f t="shared" si="25"/>
        <v>0</v>
      </c>
      <c r="E564" s="22">
        <v>0</v>
      </c>
      <c r="F564" s="22"/>
      <c r="G564" s="22"/>
      <c r="H564" s="22"/>
      <c r="I564" s="22"/>
      <c r="J564" s="86"/>
    </row>
    <row r="565" spans="1:10" ht="13.15" customHeight="1" x14ac:dyDescent="0.25">
      <c r="A565" s="97" t="s">
        <v>238</v>
      </c>
      <c r="B565" s="73" t="s">
        <v>10</v>
      </c>
      <c r="C565" s="34" t="s">
        <v>11</v>
      </c>
      <c r="D565" s="22">
        <f t="shared" si="25"/>
        <v>122949.53</v>
      </c>
      <c r="E565" s="22">
        <f>SUM(E566:E568)</f>
        <v>122949.53</v>
      </c>
      <c r="F565" s="22"/>
      <c r="G565" s="22"/>
      <c r="H565" s="22"/>
      <c r="I565" s="22"/>
      <c r="J565" s="84" t="s">
        <v>69</v>
      </c>
    </row>
    <row r="566" spans="1:10" ht="13.15" customHeight="1" x14ac:dyDescent="0.25">
      <c r="A566" s="98"/>
      <c r="B566" s="74"/>
      <c r="C566" s="34" t="s">
        <v>13</v>
      </c>
      <c r="D566" s="22">
        <f t="shared" si="25"/>
        <v>0</v>
      </c>
      <c r="E566" s="22">
        <v>0</v>
      </c>
      <c r="F566" s="22"/>
      <c r="G566" s="22"/>
      <c r="H566" s="22"/>
      <c r="I566" s="22"/>
      <c r="J566" s="85"/>
    </row>
    <row r="567" spans="1:10" ht="13.15" customHeight="1" x14ac:dyDescent="0.25">
      <c r="A567" s="98"/>
      <c r="B567" s="74"/>
      <c r="C567" s="34" t="s">
        <v>14</v>
      </c>
      <c r="D567" s="22">
        <f t="shared" si="25"/>
        <v>0</v>
      </c>
      <c r="E567" s="22">
        <v>0</v>
      </c>
      <c r="F567" s="22"/>
      <c r="G567" s="22"/>
      <c r="H567" s="22"/>
      <c r="I567" s="22"/>
      <c r="J567" s="85"/>
    </row>
    <row r="568" spans="1:10" ht="13.15" customHeight="1" x14ac:dyDescent="0.25">
      <c r="A568" s="99"/>
      <c r="B568" s="75"/>
      <c r="C568" s="34" t="s">
        <v>15</v>
      </c>
      <c r="D568" s="22">
        <f t="shared" si="25"/>
        <v>122949.53</v>
      </c>
      <c r="E568" s="22">
        <f>122949.54-0.01</f>
        <v>122949.53</v>
      </c>
      <c r="F568" s="22"/>
      <c r="G568" s="22"/>
      <c r="H568" s="22"/>
      <c r="I568" s="22"/>
      <c r="J568" s="85"/>
    </row>
    <row r="569" spans="1:10" ht="13.15" customHeight="1" x14ac:dyDescent="0.25">
      <c r="A569" s="97" t="s">
        <v>239</v>
      </c>
      <c r="B569" s="73" t="s">
        <v>10</v>
      </c>
      <c r="C569" s="40" t="s">
        <v>11</v>
      </c>
      <c r="D569" s="22">
        <f t="shared" si="25"/>
        <v>992391.66999999993</v>
      </c>
      <c r="E569" s="22"/>
      <c r="F569" s="22">
        <f>SUM(F570:F572)</f>
        <v>992391.66999999993</v>
      </c>
      <c r="G569" s="22"/>
      <c r="H569" s="22"/>
      <c r="I569" s="22"/>
      <c r="J569" s="85"/>
    </row>
    <row r="570" spans="1:10" ht="13.15" customHeight="1" x14ac:dyDescent="0.25">
      <c r="A570" s="98"/>
      <c r="B570" s="74"/>
      <c r="C570" s="40" t="s">
        <v>13</v>
      </c>
      <c r="D570" s="22">
        <f t="shared" si="25"/>
        <v>0</v>
      </c>
      <c r="E570" s="22"/>
      <c r="F570" s="22">
        <v>0</v>
      </c>
      <c r="G570" s="22"/>
      <c r="H570" s="22"/>
      <c r="I570" s="22"/>
      <c r="J570" s="85"/>
    </row>
    <row r="571" spans="1:10" ht="13.15" customHeight="1" x14ac:dyDescent="0.25">
      <c r="A571" s="98"/>
      <c r="B571" s="74"/>
      <c r="C571" s="40" t="s">
        <v>14</v>
      </c>
      <c r="D571" s="22">
        <f t="shared" si="25"/>
        <v>992391.66999999993</v>
      </c>
      <c r="E571" s="22"/>
      <c r="F571" s="22">
        <f>1500000-507608.33</f>
        <v>992391.66999999993</v>
      </c>
      <c r="G571" s="22"/>
      <c r="H571" s="22"/>
      <c r="I571" s="22"/>
      <c r="J571" s="85"/>
    </row>
    <row r="572" spans="1:10" ht="13.15" customHeight="1" x14ac:dyDescent="0.25">
      <c r="A572" s="99"/>
      <c r="B572" s="75"/>
      <c r="C572" s="40" t="s">
        <v>15</v>
      </c>
      <c r="D572" s="22">
        <f t="shared" si="25"/>
        <v>0</v>
      </c>
      <c r="E572" s="22"/>
      <c r="F572" s="22">
        <f>21666.33-21666.33</f>
        <v>0</v>
      </c>
      <c r="G572" s="22"/>
      <c r="H572" s="22"/>
      <c r="I572" s="22"/>
      <c r="J572" s="86"/>
    </row>
    <row r="573" spans="1:10" ht="13.15" customHeight="1" x14ac:dyDescent="0.25">
      <c r="A573" s="97" t="s">
        <v>240</v>
      </c>
      <c r="B573" s="73" t="s">
        <v>10</v>
      </c>
      <c r="C573" s="49" t="s">
        <v>11</v>
      </c>
      <c r="D573" s="22">
        <f t="shared" ref="D573:D608" si="26">SUM(E573:I573)</f>
        <v>2548758.14</v>
      </c>
      <c r="E573" s="22"/>
      <c r="F573" s="22">
        <f>SUM(F574:F576)</f>
        <v>2548758.14</v>
      </c>
      <c r="G573" s="22"/>
      <c r="H573" s="22"/>
      <c r="I573" s="22"/>
      <c r="J573" s="88" t="s">
        <v>264</v>
      </c>
    </row>
    <row r="574" spans="1:10" ht="13.15" customHeight="1" x14ac:dyDescent="0.25">
      <c r="A574" s="98"/>
      <c r="B574" s="74"/>
      <c r="C574" s="49" t="s">
        <v>13</v>
      </c>
      <c r="D574" s="22">
        <f t="shared" si="26"/>
        <v>0</v>
      </c>
      <c r="E574" s="22"/>
      <c r="F574" s="22">
        <f t="shared" ref="F574" si="27">F594+F590+F586+F582+F578+F598</f>
        <v>0</v>
      </c>
      <c r="G574" s="22"/>
      <c r="H574" s="22"/>
      <c r="I574" s="22"/>
      <c r="J574" s="89"/>
    </row>
    <row r="575" spans="1:10" ht="13.15" customHeight="1" x14ac:dyDescent="0.25">
      <c r="A575" s="98"/>
      <c r="B575" s="74"/>
      <c r="C575" s="49" t="s">
        <v>14</v>
      </c>
      <c r="D575" s="22">
        <f t="shared" si="26"/>
        <v>2183924.08</v>
      </c>
      <c r="E575" s="22"/>
      <c r="F575" s="22">
        <f>F595+F591+F587+F583+F579+F599+F603+F607</f>
        <v>2183924.08</v>
      </c>
      <c r="G575" s="22"/>
      <c r="H575" s="22"/>
      <c r="I575" s="22"/>
      <c r="J575" s="89"/>
    </row>
    <row r="576" spans="1:10" ht="13.15" customHeight="1" x14ac:dyDescent="0.25">
      <c r="A576" s="99"/>
      <c r="B576" s="75"/>
      <c r="C576" s="49" t="s">
        <v>15</v>
      </c>
      <c r="D576" s="22">
        <f t="shared" si="26"/>
        <v>364834.06000000006</v>
      </c>
      <c r="E576" s="22"/>
      <c r="F576" s="22">
        <f>F596+F592+F588+F584+F580+F600+F604+F608</f>
        <v>364834.06000000006</v>
      </c>
      <c r="G576" s="22"/>
      <c r="H576" s="22"/>
      <c r="I576" s="22"/>
      <c r="J576" s="89"/>
    </row>
    <row r="577" spans="1:10" ht="13.15" customHeight="1" x14ac:dyDescent="0.25">
      <c r="A577" s="79" t="s">
        <v>241</v>
      </c>
      <c r="B577" s="69" t="s">
        <v>10</v>
      </c>
      <c r="C577" s="42" t="s">
        <v>11</v>
      </c>
      <c r="D577" s="23">
        <f t="shared" si="26"/>
        <v>718457.91</v>
      </c>
      <c r="E577" s="23"/>
      <c r="F577" s="23">
        <f>SUM(F578:F580)</f>
        <v>718457.91</v>
      </c>
      <c r="G577" s="22"/>
      <c r="H577" s="22"/>
      <c r="I577" s="22"/>
      <c r="J577" s="89"/>
    </row>
    <row r="578" spans="1:10" ht="13.15" customHeight="1" x14ac:dyDescent="0.25">
      <c r="A578" s="79"/>
      <c r="B578" s="69"/>
      <c r="C578" s="42" t="s">
        <v>13</v>
      </c>
      <c r="D578" s="23">
        <f t="shared" si="26"/>
        <v>0</v>
      </c>
      <c r="E578" s="23"/>
      <c r="F578" s="23">
        <v>0</v>
      </c>
      <c r="G578" s="22"/>
      <c r="H578" s="22"/>
      <c r="I578" s="22"/>
      <c r="J578" s="89"/>
    </row>
    <row r="579" spans="1:10" ht="13.15" customHeight="1" x14ac:dyDescent="0.25">
      <c r="A579" s="79"/>
      <c r="B579" s="69"/>
      <c r="C579" s="42" t="s">
        <v>14</v>
      </c>
      <c r="D579" s="23">
        <f t="shared" si="26"/>
        <v>617873.80000000005</v>
      </c>
      <c r="E579" s="23"/>
      <c r="F579" s="23">
        <f>261461.28+356412.53-0.01</f>
        <v>617873.80000000005</v>
      </c>
      <c r="G579" s="22"/>
      <c r="H579" s="22"/>
      <c r="I579" s="22"/>
      <c r="J579" s="89"/>
    </row>
    <row r="580" spans="1:10" ht="13.15" customHeight="1" x14ac:dyDescent="0.25">
      <c r="A580" s="79"/>
      <c r="B580" s="69"/>
      <c r="C580" s="42" t="s">
        <v>15</v>
      </c>
      <c r="D580" s="23">
        <f t="shared" si="26"/>
        <v>100584.11</v>
      </c>
      <c r="E580" s="23"/>
      <c r="F580" s="23">
        <f>42563.46+58020.64+0.01</f>
        <v>100584.11</v>
      </c>
      <c r="G580" s="22"/>
      <c r="H580" s="22"/>
      <c r="I580" s="22"/>
      <c r="J580" s="89"/>
    </row>
    <row r="581" spans="1:10" ht="13.15" customHeight="1" x14ac:dyDescent="0.25">
      <c r="A581" s="79" t="s">
        <v>242</v>
      </c>
      <c r="B581" s="69" t="s">
        <v>10</v>
      </c>
      <c r="C581" s="42" t="s">
        <v>11</v>
      </c>
      <c r="D581" s="23">
        <f t="shared" si="26"/>
        <v>534539.28</v>
      </c>
      <c r="E581" s="23"/>
      <c r="F581" s="23">
        <f>SUM(F582:F584)</f>
        <v>534539.28</v>
      </c>
      <c r="G581" s="22"/>
      <c r="H581" s="22"/>
      <c r="I581" s="22"/>
      <c r="J581" s="89"/>
    </row>
    <row r="582" spans="1:10" ht="13.15" customHeight="1" x14ac:dyDescent="0.25">
      <c r="A582" s="79"/>
      <c r="B582" s="69"/>
      <c r="C582" s="42" t="s">
        <v>13</v>
      </c>
      <c r="D582" s="23">
        <f t="shared" si="26"/>
        <v>0</v>
      </c>
      <c r="E582" s="23"/>
      <c r="F582" s="23">
        <v>0</v>
      </c>
      <c r="G582" s="22"/>
      <c r="H582" s="22"/>
      <c r="I582" s="22"/>
      <c r="J582" s="89"/>
    </row>
    <row r="583" spans="1:10" ht="13.15" customHeight="1" x14ac:dyDescent="0.25">
      <c r="A583" s="79"/>
      <c r="B583" s="69"/>
      <c r="C583" s="42" t="s">
        <v>14</v>
      </c>
      <c r="D583" s="23">
        <f t="shared" si="26"/>
        <v>459703.78</v>
      </c>
      <c r="E583" s="23"/>
      <c r="F583" s="23">
        <f>261538.64+198165.15-0.01</f>
        <v>459703.78</v>
      </c>
      <c r="G583" s="22"/>
      <c r="H583" s="22"/>
      <c r="I583" s="22"/>
      <c r="J583" s="89"/>
    </row>
    <row r="584" spans="1:10" ht="17.25" customHeight="1" x14ac:dyDescent="0.25">
      <c r="A584" s="79"/>
      <c r="B584" s="69"/>
      <c r="C584" s="42" t="s">
        <v>15</v>
      </c>
      <c r="D584" s="23">
        <f t="shared" si="26"/>
        <v>74835.499999999985</v>
      </c>
      <c r="E584" s="23"/>
      <c r="F584" s="23">
        <f>42576.06+32259.43+0.01</f>
        <v>74835.499999999985</v>
      </c>
      <c r="G584" s="22"/>
      <c r="H584" s="22"/>
      <c r="I584" s="22"/>
      <c r="J584" s="89"/>
    </row>
    <row r="585" spans="1:10" ht="13.15" customHeight="1" x14ac:dyDescent="0.25">
      <c r="A585" s="79" t="s">
        <v>243</v>
      </c>
      <c r="B585" s="69" t="s">
        <v>10</v>
      </c>
      <c r="C585" s="42" t="s">
        <v>11</v>
      </c>
      <c r="D585" s="23">
        <f t="shared" si="26"/>
        <v>0</v>
      </c>
      <c r="E585" s="23"/>
      <c r="F585" s="23">
        <f>SUM(F586:F588)</f>
        <v>0</v>
      </c>
      <c r="G585" s="22"/>
      <c r="H585" s="22"/>
      <c r="I585" s="22"/>
      <c r="J585" s="89"/>
    </row>
    <row r="586" spans="1:10" ht="13.15" customHeight="1" x14ac:dyDescent="0.25">
      <c r="A586" s="79"/>
      <c r="B586" s="69"/>
      <c r="C586" s="42" t="s">
        <v>13</v>
      </c>
      <c r="D586" s="23">
        <f t="shared" si="26"/>
        <v>0</v>
      </c>
      <c r="E586" s="23"/>
      <c r="F586" s="23">
        <v>0</v>
      </c>
      <c r="G586" s="22"/>
      <c r="H586" s="22"/>
      <c r="I586" s="22"/>
      <c r="J586" s="89"/>
    </row>
    <row r="587" spans="1:10" ht="13.15" customHeight="1" x14ac:dyDescent="0.25">
      <c r="A587" s="79"/>
      <c r="B587" s="69"/>
      <c r="C587" s="42" t="s">
        <v>14</v>
      </c>
      <c r="D587" s="23">
        <f t="shared" si="26"/>
        <v>0</v>
      </c>
      <c r="E587" s="23"/>
      <c r="F587" s="23">
        <f>797754.68-797754.68</f>
        <v>0</v>
      </c>
      <c r="G587" s="22"/>
      <c r="H587" s="22"/>
      <c r="I587" s="22"/>
      <c r="J587" s="89"/>
    </row>
    <row r="588" spans="1:10" ht="12.75" customHeight="1" x14ac:dyDescent="0.25">
      <c r="A588" s="79"/>
      <c r="B588" s="69"/>
      <c r="C588" s="42" t="s">
        <v>15</v>
      </c>
      <c r="D588" s="23">
        <f t="shared" si="26"/>
        <v>0</v>
      </c>
      <c r="E588" s="23"/>
      <c r="F588" s="23">
        <f>129867.04-129867.04</f>
        <v>0</v>
      </c>
      <c r="G588" s="22"/>
      <c r="H588" s="22"/>
      <c r="I588" s="22"/>
      <c r="J588" s="89"/>
    </row>
    <row r="589" spans="1:10" ht="13.15" customHeight="1" x14ac:dyDescent="0.25">
      <c r="A589" s="79" t="s">
        <v>244</v>
      </c>
      <c r="B589" s="69" t="s">
        <v>10</v>
      </c>
      <c r="C589" s="42" t="s">
        <v>11</v>
      </c>
      <c r="D589" s="23">
        <f t="shared" si="26"/>
        <v>0</v>
      </c>
      <c r="E589" s="23"/>
      <c r="F589" s="23">
        <f>SUM(F590:F592)</f>
        <v>0</v>
      </c>
      <c r="G589" s="22"/>
      <c r="H589" s="22"/>
      <c r="I589" s="22"/>
      <c r="J589" s="89"/>
    </row>
    <row r="590" spans="1:10" ht="13.15" customHeight="1" x14ac:dyDescent="0.25">
      <c r="A590" s="79"/>
      <c r="B590" s="69"/>
      <c r="C590" s="42" t="s">
        <v>13</v>
      </c>
      <c r="D590" s="23">
        <f t="shared" si="26"/>
        <v>0</v>
      </c>
      <c r="E590" s="23"/>
      <c r="F590" s="23">
        <v>0</v>
      </c>
      <c r="G590" s="22"/>
      <c r="H590" s="22"/>
      <c r="I590" s="22"/>
      <c r="J590" s="89"/>
    </row>
    <row r="591" spans="1:10" ht="13.15" customHeight="1" x14ac:dyDescent="0.25">
      <c r="A591" s="79"/>
      <c r="B591" s="69"/>
      <c r="C591" s="42" t="s">
        <v>14</v>
      </c>
      <c r="D591" s="23">
        <f t="shared" si="26"/>
        <v>0</v>
      </c>
      <c r="E591" s="23"/>
      <c r="F591" s="23">
        <f>471760.95-471760.95</f>
        <v>0</v>
      </c>
      <c r="G591" s="22"/>
      <c r="H591" s="22"/>
      <c r="I591" s="22"/>
      <c r="J591" s="89"/>
    </row>
    <row r="592" spans="1:10" ht="18.75" customHeight="1" x14ac:dyDescent="0.25">
      <c r="A592" s="79"/>
      <c r="B592" s="69"/>
      <c r="C592" s="42" t="s">
        <v>15</v>
      </c>
      <c r="D592" s="23">
        <f t="shared" si="26"/>
        <v>0</v>
      </c>
      <c r="E592" s="23"/>
      <c r="F592" s="23">
        <f>76798.3-76798.3</f>
        <v>0</v>
      </c>
      <c r="G592" s="22"/>
      <c r="H592" s="22"/>
      <c r="I592" s="22"/>
      <c r="J592" s="89"/>
    </row>
    <row r="593" spans="1:10" ht="13.15" customHeight="1" x14ac:dyDescent="0.25">
      <c r="A593" s="129" t="s">
        <v>245</v>
      </c>
      <c r="B593" s="69" t="s">
        <v>10</v>
      </c>
      <c r="C593" s="42" t="s">
        <v>11</v>
      </c>
      <c r="D593" s="23">
        <f t="shared" si="26"/>
        <v>430409.98000000004</v>
      </c>
      <c r="E593" s="23"/>
      <c r="F593" s="23">
        <f>SUM(F594:F596)</f>
        <v>430409.98000000004</v>
      </c>
      <c r="G593" s="22"/>
      <c r="H593" s="22"/>
      <c r="I593" s="22"/>
      <c r="J593" s="89"/>
    </row>
    <row r="594" spans="1:10" ht="13.15" customHeight="1" x14ac:dyDescent="0.25">
      <c r="A594" s="129"/>
      <c r="B594" s="69"/>
      <c r="C594" s="42" t="s">
        <v>13</v>
      </c>
      <c r="D594" s="23">
        <f t="shared" si="26"/>
        <v>0</v>
      </c>
      <c r="E594" s="23"/>
      <c r="F594" s="23">
        <v>0</v>
      </c>
      <c r="G594" s="22"/>
      <c r="H594" s="22"/>
      <c r="I594" s="22"/>
      <c r="J594" s="89"/>
    </row>
    <row r="595" spans="1:10" ht="13.15" customHeight="1" x14ac:dyDescent="0.25">
      <c r="A595" s="129"/>
      <c r="B595" s="69"/>
      <c r="C595" s="42" t="s">
        <v>14</v>
      </c>
      <c r="D595" s="23">
        <f t="shared" si="26"/>
        <v>370152.58</v>
      </c>
      <c r="E595" s="23"/>
      <c r="F595" s="23">
        <f>426452.52-21740.75-34559.19</f>
        <v>370152.58</v>
      </c>
      <c r="G595" s="22"/>
      <c r="H595" s="22"/>
      <c r="I595" s="22"/>
      <c r="J595" s="89"/>
    </row>
    <row r="596" spans="1:10" ht="13.15" customHeight="1" x14ac:dyDescent="0.25">
      <c r="A596" s="129"/>
      <c r="B596" s="69"/>
      <c r="C596" s="42" t="s">
        <v>15</v>
      </c>
      <c r="D596" s="23">
        <f t="shared" si="26"/>
        <v>60257.400000000009</v>
      </c>
      <c r="E596" s="23"/>
      <c r="F596" s="23">
        <f>69422.5-3539.18-5704.84+78.92</f>
        <v>60257.400000000009</v>
      </c>
      <c r="G596" s="22"/>
      <c r="H596" s="22"/>
      <c r="I596" s="22"/>
      <c r="J596" s="89"/>
    </row>
    <row r="597" spans="1:10" ht="13.15" customHeight="1" x14ac:dyDescent="0.25">
      <c r="A597" s="79" t="s">
        <v>266</v>
      </c>
      <c r="B597" s="69" t="s">
        <v>10</v>
      </c>
      <c r="C597" s="50" t="s">
        <v>11</v>
      </c>
      <c r="D597" s="23">
        <f t="shared" si="26"/>
        <v>9311.5400000000009</v>
      </c>
      <c r="E597" s="23"/>
      <c r="F597" s="23">
        <f>SUM(F598:F600)</f>
        <v>9311.5400000000009</v>
      </c>
      <c r="G597" s="22"/>
      <c r="H597" s="22"/>
      <c r="I597" s="22"/>
      <c r="J597" s="89"/>
    </row>
    <row r="598" spans="1:10" ht="13.15" customHeight="1" x14ac:dyDescent="0.25">
      <c r="A598" s="79"/>
      <c r="B598" s="69"/>
      <c r="C598" s="50" t="s">
        <v>13</v>
      </c>
      <c r="D598" s="23">
        <f t="shared" si="26"/>
        <v>0</v>
      </c>
      <c r="E598" s="23"/>
      <c r="F598" s="23">
        <v>0</v>
      </c>
      <c r="G598" s="22"/>
      <c r="H598" s="22"/>
      <c r="I598" s="22"/>
      <c r="J598" s="89"/>
    </row>
    <row r="599" spans="1:10" ht="13.15" customHeight="1" x14ac:dyDescent="0.25">
      <c r="A599" s="79"/>
      <c r="B599" s="69"/>
      <c r="C599" s="50" t="s">
        <v>14</v>
      </c>
      <c r="D599" s="23">
        <f t="shared" si="26"/>
        <v>0</v>
      </c>
      <c r="E599" s="23"/>
      <c r="F599" s="23">
        <v>0</v>
      </c>
      <c r="G599" s="22"/>
      <c r="H599" s="22"/>
      <c r="I599" s="22"/>
      <c r="J599" s="89"/>
    </row>
    <row r="600" spans="1:10" ht="13.15" customHeight="1" x14ac:dyDescent="0.25">
      <c r="A600" s="79"/>
      <c r="B600" s="69"/>
      <c r="C600" s="50" t="s">
        <v>15</v>
      </c>
      <c r="D600" s="23">
        <f t="shared" si="26"/>
        <v>9311.5400000000009</v>
      </c>
      <c r="E600" s="23"/>
      <c r="F600" s="23">
        <v>9311.5400000000009</v>
      </c>
      <c r="G600" s="22"/>
      <c r="H600" s="22"/>
      <c r="I600" s="22"/>
      <c r="J600" s="89"/>
    </row>
    <row r="601" spans="1:10" ht="13.15" customHeight="1" x14ac:dyDescent="0.25">
      <c r="A601" s="79" t="s">
        <v>262</v>
      </c>
      <c r="B601" s="69" t="s">
        <v>10</v>
      </c>
      <c r="C601" s="61" t="s">
        <v>11</v>
      </c>
      <c r="D601" s="23">
        <f t="shared" si="26"/>
        <v>550575.32000000007</v>
      </c>
      <c r="E601" s="23"/>
      <c r="F601" s="23">
        <f>SUM(F602:F604)</f>
        <v>550575.32000000007</v>
      </c>
      <c r="G601" s="22"/>
      <c r="H601" s="22"/>
      <c r="I601" s="22"/>
      <c r="J601" s="89"/>
    </row>
    <row r="602" spans="1:10" ht="13.15" customHeight="1" x14ac:dyDescent="0.25">
      <c r="A602" s="79"/>
      <c r="B602" s="69"/>
      <c r="C602" s="61" t="s">
        <v>13</v>
      </c>
      <c r="D602" s="23">
        <f t="shared" si="26"/>
        <v>0</v>
      </c>
      <c r="E602" s="23"/>
      <c r="F602" s="23">
        <v>0</v>
      </c>
      <c r="G602" s="22"/>
      <c r="H602" s="22"/>
      <c r="I602" s="22"/>
      <c r="J602" s="89"/>
    </row>
    <row r="603" spans="1:10" ht="13.15" customHeight="1" x14ac:dyDescent="0.25">
      <c r="A603" s="79"/>
      <c r="B603" s="69"/>
      <c r="C603" s="61" t="s">
        <v>14</v>
      </c>
      <c r="D603" s="23">
        <f t="shared" si="26"/>
        <v>473494.78</v>
      </c>
      <c r="E603" s="23"/>
      <c r="F603" s="23">
        <f>473979.57-484.79</f>
        <v>473494.78</v>
      </c>
      <c r="G603" s="22"/>
      <c r="H603" s="22"/>
      <c r="I603" s="22"/>
      <c r="J603" s="89"/>
    </row>
    <row r="604" spans="1:10" ht="13.15" customHeight="1" x14ac:dyDescent="0.25">
      <c r="A604" s="79"/>
      <c r="B604" s="69"/>
      <c r="C604" s="61" t="s">
        <v>15</v>
      </c>
      <c r="D604" s="23">
        <f t="shared" si="26"/>
        <v>77080.540000000008</v>
      </c>
      <c r="E604" s="23"/>
      <c r="F604" s="23">
        <f>77159.47-78.93</f>
        <v>77080.540000000008</v>
      </c>
      <c r="G604" s="22"/>
      <c r="H604" s="22"/>
      <c r="I604" s="22"/>
      <c r="J604" s="90"/>
    </row>
    <row r="605" spans="1:10" ht="13.15" customHeight="1" x14ac:dyDescent="0.25">
      <c r="A605" s="80" t="s">
        <v>265</v>
      </c>
      <c r="B605" s="69" t="s">
        <v>10</v>
      </c>
      <c r="C605" s="63" t="s">
        <v>11</v>
      </c>
      <c r="D605" s="23">
        <f t="shared" si="26"/>
        <v>305464.11</v>
      </c>
      <c r="E605" s="23"/>
      <c r="F605" s="23">
        <f>SUM(F606:F608)</f>
        <v>305464.11</v>
      </c>
      <c r="G605" s="22"/>
      <c r="H605" s="22"/>
      <c r="I605" s="22"/>
      <c r="J605" s="62"/>
    </row>
    <row r="606" spans="1:10" ht="13.15" customHeight="1" x14ac:dyDescent="0.25">
      <c r="A606" s="81"/>
      <c r="B606" s="69"/>
      <c r="C606" s="63" t="s">
        <v>13</v>
      </c>
      <c r="D606" s="23">
        <f t="shared" si="26"/>
        <v>0</v>
      </c>
      <c r="E606" s="23"/>
      <c r="F606" s="23">
        <v>0</v>
      </c>
      <c r="G606" s="22"/>
      <c r="H606" s="22"/>
      <c r="I606" s="22"/>
      <c r="J606" s="62"/>
    </row>
    <row r="607" spans="1:10" ht="13.15" customHeight="1" x14ac:dyDescent="0.25">
      <c r="A607" s="81"/>
      <c r="B607" s="69"/>
      <c r="C607" s="63" t="s">
        <v>14</v>
      </c>
      <c r="D607" s="23">
        <f t="shared" si="26"/>
        <v>262699.14</v>
      </c>
      <c r="E607" s="23"/>
      <c r="F607" s="23">
        <v>262699.14</v>
      </c>
      <c r="G607" s="22"/>
      <c r="H607" s="22"/>
      <c r="I607" s="22"/>
      <c r="J607" s="62"/>
    </row>
    <row r="608" spans="1:10" ht="13.15" customHeight="1" x14ac:dyDescent="0.25">
      <c r="A608" s="82"/>
      <c r="B608" s="69"/>
      <c r="C608" s="63" t="s">
        <v>15</v>
      </c>
      <c r="D608" s="23">
        <f t="shared" si="26"/>
        <v>42764.97</v>
      </c>
      <c r="E608" s="23"/>
      <c r="F608" s="23">
        <f>42764.98-0.01</f>
        <v>42764.97</v>
      </c>
      <c r="G608" s="22"/>
      <c r="H608" s="22"/>
      <c r="I608" s="22"/>
      <c r="J608" s="62"/>
    </row>
    <row r="609" spans="1:10" ht="13.15" customHeight="1" x14ac:dyDescent="0.25">
      <c r="A609" s="94" t="s">
        <v>267</v>
      </c>
      <c r="B609" s="69" t="s">
        <v>10</v>
      </c>
      <c r="C609" s="47" t="s">
        <v>11</v>
      </c>
      <c r="D609" s="22">
        <f>SUM(D610:D612)</f>
        <v>477378.98</v>
      </c>
      <c r="E609" s="22"/>
      <c r="F609" s="22">
        <f>SUM(F611:F612)</f>
        <v>477378.98</v>
      </c>
      <c r="G609" s="22"/>
      <c r="H609" s="22"/>
      <c r="I609" s="22"/>
      <c r="J609" s="84" t="s">
        <v>66</v>
      </c>
    </row>
    <row r="610" spans="1:10" ht="13.15" customHeight="1" x14ac:dyDescent="0.25">
      <c r="A610" s="95"/>
      <c r="B610" s="69"/>
      <c r="C610" s="47" t="s">
        <v>13</v>
      </c>
      <c r="D610" s="22">
        <f>SUM(E610:I610)</f>
        <v>0</v>
      </c>
      <c r="E610" s="22"/>
      <c r="F610" s="22">
        <v>0</v>
      </c>
      <c r="G610" s="22"/>
      <c r="H610" s="22"/>
      <c r="I610" s="22"/>
      <c r="J610" s="85"/>
    </row>
    <row r="611" spans="1:10" ht="13.15" customHeight="1" x14ac:dyDescent="0.25">
      <c r="A611" s="95"/>
      <c r="B611" s="69"/>
      <c r="C611" s="47" t="s">
        <v>14</v>
      </c>
      <c r="D611" s="22">
        <f>SUM(E611:I611)</f>
        <v>0</v>
      </c>
      <c r="E611" s="22"/>
      <c r="F611" s="22">
        <v>0</v>
      </c>
      <c r="G611" s="22"/>
      <c r="H611" s="22"/>
      <c r="I611" s="22"/>
      <c r="J611" s="85"/>
    </row>
    <row r="612" spans="1:10" ht="13.15" customHeight="1" x14ac:dyDescent="0.25">
      <c r="A612" s="96"/>
      <c r="B612" s="69"/>
      <c r="C612" s="47" t="s">
        <v>15</v>
      </c>
      <c r="D612" s="22">
        <f>SUM(E612:I612)</f>
        <v>477378.98</v>
      </c>
      <c r="E612" s="22"/>
      <c r="F612" s="22">
        <f>477378.98</f>
        <v>477378.98</v>
      </c>
      <c r="G612" s="22"/>
      <c r="H612" s="22"/>
      <c r="I612" s="22"/>
      <c r="J612" s="86"/>
    </row>
    <row r="613" spans="1:10" ht="13.15" customHeight="1" x14ac:dyDescent="0.25">
      <c r="A613" s="94" t="s">
        <v>246</v>
      </c>
      <c r="B613" s="91" t="s">
        <v>10</v>
      </c>
      <c r="C613" s="52" t="s">
        <v>11</v>
      </c>
      <c r="D613" s="22">
        <f>SUM(D614:D616)</f>
        <v>1846671.94</v>
      </c>
      <c r="E613" s="22"/>
      <c r="F613" s="22">
        <f>SUM(F614:F616)</f>
        <v>1846671.94</v>
      </c>
      <c r="G613" s="22"/>
      <c r="H613" s="22"/>
      <c r="I613" s="22"/>
      <c r="J613" s="84" t="s">
        <v>69</v>
      </c>
    </row>
    <row r="614" spans="1:10" ht="13.15" customHeight="1" x14ac:dyDescent="0.25">
      <c r="A614" s="95"/>
      <c r="B614" s="92"/>
      <c r="C614" s="52" t="s">
        <v>13</v>
      </c>
      <c r="D614" s="22">
        <f>SUM(E614:I614)</f>
        <v>0</v>
      </c>
      <c r="E614" s="22"/>
      <c r="F614" s="22">
        <v>0</v>
      </c>
      <c r="G614" s="22"/>
      <c r="H614" s="22"/>
      <c r="I614" s="22"/>
      <c r="J614" s="85"/>
    </row>
    <row r="615" spans="1:10" ht="13.15" customHeight="1" x14ac:dyDescent="0.25">
      <c r="A615" s="95"/>
      <c r="B615" s="92"/>
      <c r="C615" s="52" t="s">
        <v>14</v>
      </c>
      <c r="D615" s="22">
        <f>SUM(E615:I615)</f>
        <v>1846671.94</v>
      </c>
      <c r="E615" s="22"/>
      <c r="F615" s="22">
        <f>2337559.4-490887.46</f>
        <v>1846671.94</v>
      </c>
      <c r="G615" s="22"/>
      <c r="H615" s="22"/>
      <c r="I615" s="22"/>
      <c r="J615" s="85"/>
    </row>
    <row r="616" spans="1:10" ht="13.15" customHeight="1" x14ac:dyDescent="0.25">
      <c r="A616" s="96"/>
      <c r="B616" s="93"/>
      <c r="C616" s="52" t="s">
        <v>15</v>
      </c>
      <c r="D616" s="22">
        <f>SUM(E616:I616)</f>
        <v>0</v>
      </c>
      <c r="E616" s="22"/>
      <c r="F616" s="22">
        <v>0</v>
      </c>
      <c r="G616" s="22"/>
      <c r="H616" s="22"/>
      <c r="I616" s="22"/>
      <c r="J616" s="86"/>
    </row>
    <row r="617" spans="1:10" ht="13.15" customHeight="1" x14ac:dyDescent="0.25">
      <c r="A617" s="94" t="s">
        <v>260</v>
      </c>
      <c r="B617" s="91" t="s">
        <v>10</v>
      </c>
      <c r="C617" s="59" t="s">
        <v>11</v>
      </c>
      <c r="D617" s="22">
        <f>SUM(D618:D620)</f>
        <v>750000</v>
      </c>
      <c r="E617" s="22"/>
      <c r="F617" s="22">
        <f>SUM(F618:F620)</f>
        <v>750000</v>
      </c>
      <c r="G617" s="22"/>
      <c r="H617" s="22"/>
      <c r="I617" s="22"/>
      <c r="J617" s="60"/>
    </row>
    <row r="618" spans="1:10" ht="13.15" customHeight="1" x14ac:dyDescent="0.25">
      <c r="A618" s="95"/>
      <c r="B618" s="92"/>
      <c r="C618" s="59" t="s">
        <v>13</v>
      </c>
      <c r="D618" s="22">
        <f>SUM(E618:I618)</f>
        <v>0</v>
      </c>
      <c r="E618" s="22"/>
      <c r="F618" s="22">
        <v>0</v>
      </c>
      <c r="G618" s="22"/>
      <c r="H618" s="22"/>
      <c r="I618" s="22"/>
      <c r="J618" s="60"/>
    </row>
    <row r="619" spans="1:10" ht="13.15" customHeight="1" x14ac:dyDescent="0.25">
      <c r="A619" s="95"/>
      <c r="B619" s="92"/>
      <c r="C619" s="59" t="s">
        <v>14</v>
      </c>
      <c r="D619" s="22">
        <f>SUM(E619:I619)</f>
        <v>507608.33</v>
      </c>
      <c r="E619" s="22"/>
      <c r="F619" s="22">
        <v>507608.33</v>
      </c>
      <c r="G619" s="22"/>
      <c r="H619" s="22"/>
      <c r="I619" s="22"/>
      <c r="J619" s="60"/>
    </row>
    <row r="620" spans="1:10" ht="13.15" customHeight="1" x14ac:dyDescent="0.25">
      <c r="A620" s="96"/>
      <c r="B620" s="93"/>
      <c r="C620" s="59" t="s">
        <v>15</v>
      </c>
      <c r="D620" s="22">
        <f>SUM(E620:I620)</f>
        <v>242391.66999999998</v>
      </c>
      <c r="E620" s="22"/>
      <c r="F620" s="22">
        <f>451623.99-209232.32</f>
        <v>242391.66999999998</v>
      </c>
      <c r="G620" s="22"/>
      <c r="H620" s="22"/>
      <c r="I620" s="22"/>
      <c r="J620" s="60"/>
    </row>
    <row r="621" spans="1:10" ht="13.15" customHeight="1" x14ac:dyDescent="0.25">
      <c r="A621" s="94" t="s">
        <v>261</v>
      </c>
      <c r="B621" s="91" t="s">
        <v>10</v>
      </c>
      <c r="C621" s="59" t="s">
        <v>11</v>
      </c>
      <c r="D621" s="22">
        <f>SUM(D622:D624)</f>
        <v>76174.55</v>
      </c>
      <c r="E621" s="22"/>
      <c r="F621" s="22">
        <f>SUM(F622:F624)</f>
        <v>76174.55</v>
      </c>
      <c r="G621" s="22"/>
      <c r="H621" s="22"/>
      <c r="I621" s="22"/>
      <c r="J621" s="60"/>
    </row>
    <row r="622" spans="1:10" ht="13.15" customHeight="1" x14ac:dyDescent="0.25">
      <c r="A622" s="95"/>
      <c r="B622" s="92"/>
      <c r="C622" s="59" t="s">
        <v>13</v>
      </c>
      <c r="D622" s="22">
        <f>SUM(E622:I622)</f>
        <v>0</v>
      </c>
      <c r="E622" s="22"/>
      <c r="F622" s="22">
        <v>0</v>
      </c>
      <c r="G622" s="22"/>
      <c r="H622" s="22"/>
      <c r="I622" s="22"/>
      <c r="J622" s="60"/>
    </row>
    <row r="623" spans="1:10" ht="13.15" customHeight="1" x14ac:dyDescent="0.25">
      <c r="A623" s="95"/>
      <c r="B623" s="92"/>
      <c r="C623" s="59" t="s">
        <v>14</v>
      </c>
      <c r="D623" s="22">
        <f>SUM(E623:I623)</f>
        <v>0</v>
      </c>
      <c r="E623" s="22"/>
      <c r="F623" s="22">
        <v>0</v>
      </c>
      <c r="G623" s="22"/>
      <c r="H623" s="22"/>
      <c r="I623" s="22"/>
      <c r="J623" s="60"/>
    </row>
    <row r="624" spans="1:10" ht="13.15" customHeight="1" x14ac:dyDescent="0.25">
      <c r="A624" s="96"/>
      <c r="B624" s="93"/>
      <c r="C624" s="59" t="s">
        <v>15</v>
      </c>
      <c r="D624" s="22">
        <f>SUM(E624:I624)</f>
        <v>76174.55</v>
      </c>
      <c r="E624" s="22"/>
      <c r="F624" s="22">
        <v>76174.55</v>
      </c>
      <c r="G624" s="22"/>
      <c r="H624" s="22"/>
      <c r="I624" s="22"/>
      <c r="J624" s="60"/>
    </row>
    <row r="625" spans="1:12" x14ac:dyDescent="0.25">
      <c r="A625" s="65" t="s">
        <v>141</v>
      </c>
      <c r="B625" s="65"/>
      <c r="C625" s="65"/>
      <c r="D625" s="11">
        <f>SUM(D627:D628)</f>
        <v>64058617.470000006</v>
      </c>
      <c r="E625" s="22">
        <f t="shared" ref="E625" si="28">SUM(E627:E628)</f>
        <v>16924903.52</v>
      </c>
      <c r="F625" s="22">
        <f>SUM(F627:F628)</f>
        <v>19110585.910000004</v>
      </c>
      <c r="G625" s="22">
        <f>SUM(G626:G628)</f>
        <v>10503208.449999999</v>
      </c>
      <c r="H625" s="22">
        <f>SUM(H627:H628)</f>
        <v>8757803.7200000007</v>
      </c>
      <c r="I625" s="22">
        <f>SUM(I627:I628)</f>
        <v>8762115.8699999992</v>
      </c>
      <c r="J625" s="8"/>
      <c r="L625" s="17"/>
    </row>
    <row r="626" spans="1:12" x14ac:dyDescent="0.25">
      <c r="A626" s="70" t="s">
        <v>13</v>
      </c>
      <c r="B626" s="71"/>
      <c r="C626" s="72"/>
      <c r="D626" s="18">
        <v>0</v>
      </c>
      <c r="E626" s="22">
        <v>0</v>
      </c>
      <c r="F626" s="22">
        <f>F346+F350+F354+F478+F534+F550+F554+F558+F570+F574</f>
        <v>0</v>
      </c>
      <c r="G626" s="22">
        <v>0</v>
      </c>
      <c r="H626" s="22">
        <v>0</v>
      </c>
      <c r="I626" s="22">
        <v>0</v>
      </c>
      <c r="J626" s="8"/>
    </row>
    <row r="627" spans="1:12" x14ac:dyDescent="0.25">
      <c r="A627" s="65" t="s">
        <v>14</v>
      </c>
      <c r="B627" s="65"/>
      <c r="C627" s="65"/>
      <c r="D627" s="22">
        <f>SUM(E627:I627)</f>
        <v>7341268.5599999996</v>
      </c>
      <c r="E627" s="22">
        <f>E547+E563</f>
        <v>1810672.54</v>
      </c>
      <c r="F627" s="22">
        <f>F347+F351+F355+F479+F535+F551+F555+F559+F571+F575+F611+F615+F619</f>
        <v>5530596.0199999996</v>
      </c>
      <c r="G627" s="22">
        <f>G545</f>
        <v>0</v>
      </c>
      <c r="H627" s="22">
        <f>H545</f>
        <v>0</v>
      </c>
      <c r="I627" s="22">
        <f>I545</f>
        <v>0</v>
      </c>
      <c r="J627" s="9"/>
    </row>
    <row r="628" spans="1:12" x14ac:dyDescent="0.25">
      <c r="A628" s="65" t="s">
        <v>15</v>
      </c>
      <c r="B628" s="65"/>
      <c r="C628" s="65"/>
      <c r="D628" s="22">
        <f>SUM(E628:I628)</f>
        <v>56717348.910000004</v>
      </c>
      <c r="E628" s="22">
        <f>E348++E352+E356+E384+E480+E536+E544+E548+E568</f>
        <v>15114230.98</v>
      </c>
      <c r="F628" s="22">
        <f>F348+F352+F356+F480+F536+F552+F556+F560+F572+F576+F612+F616+F384+F620+F624</f>
        <v>13579989.890000002</v>
      </c>
      <c r="G628" s="22">
        <f>G348+G356+G480+G460+G360+G352+G464</f>
        <v>10503208.449999999</v>
      </c>
      <c r="H628" s="22">
        <f>H348+H356+H480+H460+H360+H352</f>
        <v>8757803.7200000007</v>
      </c>
      <c r="I628" s="22">
        <f>I348+I356+I480+I460+I360+I352</f>
        <v>8762115.8699999992</v>
      </c>
      <c r="J628" s="9"/>
    </row>
    <row r="629" spans="1:12" x14ac:dyDescent="0.25">
      <c r="A629" s="83" t="s">
        <v>134</v>
      </c>
      <c r="B629" s="83"/>
      <c r="C629" s="83"/>
      <c r="D629" s="83"/>
      <c r="E629" s="83"/>
      <c r="F629" s="83"/>
      <c r="G629" s="83"/>
      <c r="H629" s="83"/>
      <c r="I629" s="83"/>
      <c r="J629" s="83"/>
    </row>
    <row r="630" spans="1:12" ht="12.6" customHeight="1" x14ac:dyDescent="0.25">
      <c r="A630" s="66" t="s">
        <v>71</v>
      </c>
      <c r="B630" s="73" t="s">
        <v>72</v>
      </c>
      <c r="C630" s="24" t="s">
        <v>11</v>
      </c>
      <c r="D630" s="22">
        <f t="shared" ref="D630:D661" si="29">SUM(E630:I630)</f>
        <v>7830279</v>
      </c>
      <c r="E630" s="22">
        <f>SUM(E631:E633)</f>
        <v>1464463</v>
      </c>
      <c r="F630" s="22">
        <f>SUM(F631:F633)</f>
        <v>1545008</v>
      </c>
      <c r="G630" s="22">
        <f>SUM(G631:G633)</f>
        <v>1606808</v>
      </c>
      <c r="H630" s="22">
        <f>SUM(H631:H633)</f>
        <v>1607000</v>
      </c>
      <c r="I630" s="22">
        <f>SUM(I631:I633)</f>
        <v>1607000</v>
      </c>
      <c r="J630" s="84" t="s">
        <v>73</v>
      </c>
    </row>
    <row r="631" spans="1:12" ht="12.6" customHeight="1" x14ac:dyDescent="0.25">
      <c r="A631" s="67"/>
      <c r="B631" s="74"/>
      <c r="C631" s="24" t="s">
        <v>13</v>
      </c>
      <c r="D631" s="22">
        <f t="shared" si="29"/>
        <v>0</v>
      </c>
      <c r="E631" s="22">
        <v>0</v>
      </c>
      <c r="F631" s="22">
        <v>0</v>
      </c>
      <c r="G631" s="22">
        <v>0</v>
      </c>
      <c r="H631" s="22">
        <v>0</v>
      </c>
      <c r="I631" s="22">
        <v>0</v>
      </c>
      <c r="J631" s="85"/>
    </row>
    <row r="632" spans="1:12" ht="12.6" customHeight="1" x14ac:dyDescent="0.25">
      <c r="A632" s="67"/>
      <c r="B632" s="74"/>
      <c r="C632" s="24" t="s">
        <v>14</v>
      </c>
      <c r="D632" s="22">
        <f t="shared" si="29"/>
        <v>0</v>
      </c>
      <c r="E632" s="22">
        <v>0</v>
      </c>
      <c r="F632" s="22">
        <v>0</v>
      </c>
      <c r="G632" s="22">
        <v>0</v>
      </c>
      <c r="H632" s="22">
        <v>0</v>
      </c>
      <c r="I632" s="22">
        <v>0</v>
      </c>
      <c r="J632" s="85"/>
    </row>
    <row r="633" spans="1:12" x14ac:dyDescent="0.25">
      <c r="A633" s="68"/>
      <c r="B633" s="75"/>
      <c r="C633" s="24" t="s">
        <v>15</v>
      </c>
      <c r="D633" s="22">
        <f t="shared" si="29"/>
        <v>7830279</v>
      </c>
      <c r="E633" s="22">
        <v>1464463</v>
      </c>
      <c r="F633" s="22">
        <v>1545008</v>
      </c>
      <c r="G633" s="22">
        <v>1606808</v>
      </c>
      <c r="H633" s="22">
        <v>1607000</v>
      </c>
      <c r="I633" s="22">
        <v>1607000</v>
      </c>
      <c r="J633" s="86"/>
    </row>
    <row r="634" spans="1:12" ht="13.15" customHeight="1" x14ac:dyDescent="0.25">
      <c r="A634" s="66" t="s">
        <v>217</v>
      </c>
      <c r="B634" s="73" t="s">
        <v>10</v>
      </c>
      <c r="C634" s="24" t="s">
        <v>11</v>
      </c>
      <c r="D634" s="22">
        <f t="shared" si="29"/>
        <v>228986.07</v>
      </c>
      <c r="E634" s="22">
        <f>SUM(E635:E637)</f>
        <v>0</v>
      </c>
      <c r="F634" s="22"/>
      <c r="G634" s="22">
        <f>SUM(G635:G637)</f>
        <v>228986.07</v>
      </c>
      <c r="H634" s="22"/>
      <c r="I634" s="22"/>
      <c r="J634" s="84" t="s">
        <v>81</v>
      </c>
    </row>
    <row r="635" spans="1:12" ht="13.9" customHeight="1" x14ac:dyDescent="0.25">
      <c r="A635" s="67"/>
      <c r="B635" s="74"/>
      <c r="C635" s="24" t="s">
        <v>13</v>
      </c>
      <c r="D635" s="22">
        <f t="shared" si="29"/>
        <v>0</v>
      </c>
      <c r="E635" s="22">
        <v>0</v>
      </c>
      <c r="F635" s="22"/>
      <c r="G635" s="22">
        <v>0</v>
      </c>
      <c r="H635" s="22"/>
      <c r="I635" s="22"/>
      <c r="J635" s="85"/>
    </row>
    <row r="636" spans="1:12" ht="13.15" customHeight="1" x14ac:dyDescent="0.25">
      <c r="A636" s="67"/>
      <c r="B636" s="74"/>
      <c r="C636" s="24" t="s">
        <v>14</v>
      </c>
      <c r="D636" s="22">
        <f t="shared" si="29"/>
        <v>0</v>
      </c>
      <c r="E636" s="22">
        <v>0</v>
      </c>
      <c r="F636" s="22"/>
      <c r="G636" s="22">
        <v>0</v>
      </c>
      <c r="H636" s="22"/>
      <c r="I636" s="22"/>
      <c r="J636" s="85"/>
    </row>
    <row r="637" spans="1:12" ht="13.9" customHeight="1" x14ac:dyDescent="0.25">
      <c r="A637" s="68"/>
      <c r="B637" s="75"/>
      <c r="C637" s="24" t="s">
        <v>15</v>
      </c>
      <c r="D637" s="22">
        <f t="shared" si="29"/>
        <v>228986.07</v>
      </c>
      <c r="E637" s="22">
        <v>0</v>
      </c>
      <c r="F637" s="22"/>
      <c r="G637" s="22">
        <v>228986.07</v>
      </c>
      <c r="H637" s="22"/>
      <c r="I637" s="22"/>
      <c r="J637" s="86"/>
    </row>
    <row r="638" spans="1:12" ht="12.6" customHeight="1" x14ac:dyDescent="0.25">
      <c r="A638" s="66" t="s">
        <v>126</v>
      </c>
      <c r="B638" s="73" t="s">
        <v>74</v>
      </c>
      <c r="C638" s="24" t="s">
        <v>11</v>
      </c>
      <c r="D638" s="22">
        <f t="shared" si="29"/>
        <v>12061014.749999998</v>
      </c>
      <c r="E638" s="22">
        <f>SUM(E639:E641)</f>
        <v>2014448.31</v>
      </c>
      <c r="F638" s="22">
        <f>SUM(F639:F641)</f>
        <v>2300311.88</v>
      </c>
      <c r="G638" s="22">
        <f>SUM(G639:G641)</f>
        <v>2500220.61</v>
      </c>
      <c r="H638" s="22">
        <f>SUM(H639:H641)</f>
        <v>2605042.2799999998</v>
      </c>
      <c r="I638" s="22">
        <f>SUM(I639:I641)</f>
        <v>2640991.67</v>
      </c>
      <c r="J638" s="84" t="s">
        <v>75</v>
      </c>
    </row>
    <row r="639" spans="1:12" ht="12.6" customHeight="1" x14ac:dyDescent="0.25">
      <c r="A639" s="67"/>
      <c r="B639" s="74"/>
      <c r="C639" s="24" t="s">
        <v>13</v>
      </c>
      <c r="D639" s="22">
        <f t="shared" si="29"/>
        <v>0</v>
      </c>
      <c r="E639" s="22">
        <v>0</v>
      </c>
      <c r="F639" s="22">
        <v>0</v>
      </c>
      <c r="G639" s="22">
        <v>0</v>
      </c>
      <c r="H639" s="22">
        <v>0</v>
      </c>
      <c r="I639" s="22">
        <v>0</v>
      </c>
      <c r="J639" s="85"/>
    </row>
    <row r="640" spans="1:12" ht="10.9" customHeight="1" x14ac:dyDescent="0.25">
      <c r="A640" s="67"/>
      <c r="B640" s="74"/>
      <c r="C640" s="24" t="s">
        <v>14</v>
      </c>
      <c r="D640" s="22">
        <f t="shared" si="29"/>
        <v>0</v>
      </c>
      <c r="E640" s="22">
        <v>0</v>
      </c>
      <c r="F640" s="22">
        <v>0</v>
      </c>
      <c r="G640" s="22">
        <v>0</v>
      </c>
      <c r="H640" s="22">
        <v>0</v>
      </c>
      <c r="I640" s="22">
        <v>0</v>
      </c>
      <c r="J640" s="85"/>
    </row>
    <row r="641" spans="1:10" ht="12.6" customHeight="1" x14ac:dyDescent="0.25">
      <c r="A641" s="68"/>
      <c r="B641" s="75"/>
      <c r="C641" s="24" t="s">
        <v>15</v>
      </c>
      <c r="D641" s="22">
        <f t="shared" si="29"/>
        <v>12061014.749999998</v>
      </c>
      <c r="E641" s="22">
        <f>1931455.7+65799.61+17193</f>
        <v>2014448.31</v>
      </c>
      <c r="F641" s="22">
        <f>2279321.88+20990</f>
        <v>2300311.88</v>
      </c>
      <c r="G641" s="22">
        <v>2500220.61</v>
      </c>
      <c r="H641" s="22">
        <v>2605042.2799999998</v>
      </c>
      <c r="I641" s="22">
        <v>2640991.67</v>
      </c>
      <c r="J641" s="86"/>
    </row>
    <row r="642" spans="1:10" ht="13.9" hidden="1" customHeight="1" x14ac:dyDescent="0.25">
      <c r="A642" s="66" t="s">
        <v>127</v>
      </c>
      <c r="B642" s="73" t="s">
        <v>50</v>
      </c>
      <c r="C642" s="24" t="s">
        <v>11</v>
      </c>
      <c r="D642" s="22">
        <f t="shared" si="29"/>
        <v>0</v>
      </c>
      <c r="E642" s="28"/>
      <c r="F642" s="28"/>
      <c r="G642" s="28"/>
      <c r="H642" s="28"/>
      <c r="I642" s="22"/>
      <c r="J642" s="84" t="s">
        <v>76</v>
      </c>
    </row>
    <row r="643" spans="1:10" ht="12.6" hidden="1" customHeight="1" x14ac:dyDescent="0.25">
      <c r="A643" s="67"/>
      <c r="B643" s="74"/>
      <c r="C643" s="24" t="s">
        <v>13</v>
      </c>
      <c r="D643" s="22">
        <f t="shared" si="29"/>
        <v>0</v>
      </c>
      <c r="E643" s="28"/>
      <c r="F643" s="28"/>
      <c r="G643" s="28"/>
      <c r="H643" s="28"/>
      <c r="I643" s="22"/>
      <c r="J643" s="85"/>
    </row>
    <row r="644" spans="1:10" ht="12.6" hidden="1" customHeight="1" x14ac:dyDescent="0.25">
      <c r="A644" s="67"/>
      <c r="B644" s="74"/>
      <c r="C644" s="24" t="s">
        <v>14</v>
      </c>
      <c r="D644" s="22">
        <f t="shared" si="29"/>
        <v>0</v>
      </c>
      <c r="E644" s="28"/>
      <c r="F644" s="28"/>
      <c r="G644" s="28"/>
      <c r="H644" s="28"/>
      <c r="I644" s="22"/>
      <c r="J644" s="85"/>
    </row>
    <row r="645" spans="1:10" ht="12.6" hidden="1" customHeight="1" x14ac:dyDescent="0.25">
      <c r="A645" s="68"/>
      <c r="B645" s="75"/>
      <c r="C645" s="24" t="s">
        <v>15</v>
      </c>
      <c r="D645" s="22">
        <f t="shared" si="29"/>
        <v>0</v>
      </c>
      <c r="E645" s="28"/>
      <c r="F645" s="28"/>
      <c r="G645" s="28"/>
      <c r="H645" s="28"/>
      <c r="I645" s="22"/>
      <c r="J645" s="86"/>
    </row>
    <row r="646" spans="1:10" ht="12.6" hidden="1" customHeight="1" x14ac:dyDescent="0.25">
      <c r="A646" s="66" t="s">
        <v>128</v>
      </c>
      <c r="B646" s="73" t="s">
        <v>10</v>
      </c>
      <c r="C646" s="24" t="s">
        <v>11</v>
      </c>
      <c r="D646" s="22">
        <f t="shared" si="29"/>
        <v>0</v>
      </c>
      <c r="E646" s="28"/>
      <c r="F646" s="28"/>
      <c r="G646" s="28"/>
      <c r="H646" s="28"/>
      <c r="I646" s="22"/>
      <c r="J646" s="84" t="s">
        <v>77</v>
      </c>
    </row>
    <row r="647" spans="1:10" ht="12.6" hidden="1" customHeight="1" x14ac:dyDescent="0.25">
      <c r="A647" s="67"/>
      <c r="B647" s="74"/>
      <c r="C647" s="24" t="s">
        <v>13</v>
      </c>
      <c r="D647" s="22">
        <f t="shared" si="29"/>
        <v>0</v>
      </c>
      <c r="E647" s="28"/>
      <c r="F647" s="28"/>
      <c r="G647" s="28"/>
      <c r="H647" s="28"/>
      <c r="I647" s="22"/>
      <c r="J647" s="85"/>
    </row>
    <row r="648" spans="1:10" ht="11.45" hidden="1" customHeight="1" x14ac:dyDescent="0.25">
      <c r="A648" s="67"/>
      <c r="B648" s="74"/>
      <c r="C648" s="24" t="s">
        <v>14</v>
      </c>
      <c r="D648" s="22">
        <f t="shared" si="29"/>
        <v>0</v>
      </c>
      <c r="E648" s="28"/>
      <c r="F648" s="28"/>
      <c r="G648" s="28"/>
      <c r="H648" s="28"/>
      <c r="I648" s="22"/>
      <c r="J648" s="85"/>
    </row>
    <row r="649" spans="1:10" ht="12.6" hidden="1" customHeight="1" x14ac:dyDescent="0.25">
      <c r="A649" s="68"/>
      <c r="B649" s="75"/>
      <c r="C649" s="24" t="s">
        <v>15</v>
      </c>
      <c r="D649" s="22">
        <f t="shared" si="29"/>
        <v>0</v>
      </c>
      <c r="E649" s="28"/>
      <c r="F649" s="28"/>
      <c r="G649" s="28"/>
      <c r="H649" s="28"/>
      <c r="I649" s="22"/>
      <c r="J649" s="86"/>
    </row>
    <row r="650" spans="1:10" ht="12.6" customHeight="1" x14ac:dyDescent="0.25">
      <c r="A650" s="66" t="s">
        <v>182</v>
      </c>
      <c r="B650" s="73" t="s">
        <v>10</v>
      </c>
      <c r="C650" s="35" t="s">
        <v>11</v>
      </c>
      <c r="D650" s="22">
        <f t="shared" si="29"/>
        <v>4025000</v>
      </c>
      <c r="E650" s="22"/>
      <c r="F650" s="22">
        <f>SUM(F651:F653)</f>
        <v>4025000</v>
      </c>
      <c r="G650" s="22"/>
      <c r="H650" s="22"/>
      <c r="I650" s="22"/>
      <c r="J650" s="84" t="s">
        <v>143</v>
      </c>
    </row>
    <row r="651" spans="1:10" ht="12.6" customHeight="1" x14ac:dyDescent="0.25">
      <c r="A651" s="67"/>
      <c r="B651" s="74"/>
      <c r="C651" s="35" t="s">
        <v>13</v>
      </c>
      <c r="D651" s="22">
        <f t="shared" si="29"/>
        <v>0</v>
      </c>
      <c r="E651" s="22"/>
      <c r="F651" s="22">
        <v>0</v>
      </c>
      <c r="G651" s="22"/>
      <c r="H651" s="22"/>
      <c r="I651" s="22"/>
      <c r="J651" s="85"/>
    </row>
    <row r="652" spans="1:10" ht="12.6" customHeight="1" x14ac:dyDescent="0.25">
      <c r="A652" s="67"/>
      <c r="B652" s="74"/>
      <c r="C652" s="35" t="s">
        <v>14</v>
      </c>
      <c r="D652" s="22">
        <f t="shared" si="29"/>
        <v>0</v>
      </c>
      <c r="E652" s="22"/>
      <c r="F652" s="22">
        <v>0</v>
      </c>
      <c r="G652" s="22"/>
      <c r="H652" s="22"/>
      <c r="I652" s="22"/>
      <c r="J652" s="85"/>
    </row>
    <row r="653" spans="1:10" ht="14.25" customHeight="1" x14ac:dyDescent="0.25">
      <c r="A653" s="68"/>
      <c r="B653" s="75"/>
      <c r="C653" s="35" t="s">
        <v>15</v>
      </c>
      <c r="D653" s="22">
        <f t="shared" si="29"/>
        <v>4025000</v>
      </c>
      <c r="E653" s="22"/>
      <c r="F653" s="22">
        <f>2180082+1847483.6-2565.6</f>
        <v>4025000</v>
      </c>
      <c r="G653" s="22"/>
      <c r="H653" s="22"/>
      <c r="I653" s="22"/>
      <c r="J653" s="86"/>
    </row>
    <row r="654" spans="1:10" ht="13.9" customHeight="1" x14ac:dyDescent="0.25">
      <c r="A654" s="66" t="s">
        <v>247</v>
      </c>
      <c r="B654" s="73" t="s">
        <v>10</v>
      </c>
      <c r="C654" s="24" t="s">
        <v>11</v>
      </c>
      <c r="D654" s="22">
        <f t="shared" si="29"/>
        <v>4149616.5900000003</v>
      </c>
      <c r="E654" s="22">
        <f>SUM(E655:E657)</f>
        <v>761393.74</v>
      </c>
      <c r="F654" s="22">
        <f>SUM(F655:F657)</f>
        <v>761398.67</v>
      </c>
      <c r="G654" s="22">
        <f>SUM(G655:G657)</f>
        <v>875608.05999999994</v>
      </c>
      <c r="H654" s="22">
        <f>SUM(H655:H657)</f>
        <v>875608.06</v>
      </c>
      <c r="I654" s="22">
        <f>SUM(I655:I657)</f>
        <v>875608.05999999994</v>
      </c>
      <c r="J654" s="84" t="s">
        <v>78</v>
      </c>
    </row>
    <row r="655" spans="1:10" ht="13.15" customHeight="1" x14ac:dyDescent="0.25">
      <c r="A655" s="67"/>
      <c r="B655" s="74"/>
      <c r="C655" s="24" t="s">
        <v>13</v>
      </c>
      <c r="D655" s="22">
        <f t="shared" si="29"/>
        <v>0</v>
      </c>
      <c r="E655" s="22">
        <f>E659+E663</f>
        <v>0</v>
      </c>
      <c r="F655" s="22">
        <f>F659+F663</f>
        <v>0</v>
      </c>
      <c r="G655" s="22">
        <f>G659+G663</f>
        <v>0</v>
      </c>
      <c r="H655" s="22">
        <f>H659+H663</f>
        <v>0</v>
      </c>
      <c r="I655" s="22">
        <f>I659+I663</f>
        <v>0</v>
      </c>
      <c r="J655" s="85"/>
    </row>
    <row r="656" spans="1:10" ht="13.15" customHeight="1" x14ac:dyDescent="0.25">
      <c r="A656" s="67"/>
      <c r="B656" s="74"/>
      <c r="C656" s="24" t="s">
        <v>14</v>
      </c>
      <c r="D656" s="22">
        <f t="shared" si="29"/>
        <v>0</v>
      </c>
      <c r="E656" s="22">
        <f t="shared" ref="E656:G657" si="30">E660+E664</f>
        <v>0</v>
      </c>
      <c r="F656" s="22">
        <f t="shared" si="30"/>
        <v>0</v>
      </c>
      <c r="G656" s="22">
        <f t="shared" si="30"/>
        <v>0</v>
      </c>
      <c r="H656" s="22">
        <f t="shared" ref="H656:I656" si="31">H660+H664</f>
        <v>0</v>
      </c>
      <c r="I656" s="22">
        <f t="shared" si="31"/>
        <v>0</v>
      </c>
      <c r="J656" s="85"/>
    </row>
    <row r="657" spans="1:10" x14ac:dyDescent="0.25">
      <c r="A657" s="68"/>
      <c r="B657" s="75"/>
      <c r="C657" s="24" t="s">
        <v>15</v>
      </c>
      <c r="D657" s="22">
        <f t="shared" si="29"/>
        <v>4149616.5900000003</v>
      </c>
      <c r="E657" s="22">
        <f t="shared" si="30"/>
        <v>761393.74</v>
      </c>
      <c r="F657" s="22">
        <f>F661+F665</f>
        <v>761398.67</v>
      </c>
      <c r="G657" s="22">
        <f t="shared" si="30"/>
        <v>875608.05999999994</v>
      </c>
      <c r="H657" s="22">
        <f>H661+H665</f>
        <v>875608.06</v>
      </c>
      <c r="I657" s="22">
        <f>I661+I665</f>
        <v>875608.05999999994</v>
      </c>
      <c r="J657" s="85"/>
    </row>
    <row r="658" spans="1:10" ht="13.15" customHeight="1" x14ac:dyDescent="0.25">
      <c r="A658" s="76" t="s">
        <v>248</v>
      </c>
      <c r="B658" s="73" t="s">
        <v>10</v>
      </c>
      <c r="C658" s="24" t="s">
        <v>11</v>
      </c>
      <c r="D658" s="23">
        <f t="shared" si="29"/>
        <v>4149515.5500000003</v>
      </c>
      <c r="E658" s="23">
        <f>SUM(E659:E661)</f>
        <v>761379</v>
      </c>
      <c r="F658" s="23">
        <f>SUM(F659:F661)</f>
        <v>761379</v>
      </c>
      <c r="G658" s="23">
        <f>SUM(G659:G661)</f>
        <v>875585.85</v>
      </c>
      <c r="H658" s="23">
        <f>SUM(H659:H661)</f>
        <v>875585.85000000009</v>
      </c>
      <c r="I658" s="23">
        <f>SUM(I659:I661)</f>
        <v>875585.85</v>
      </c>
      <c r="J658" s="85"/>
    </row>
    <row r="659" spans="1:10" ht="13.9" customHeight="1" x14ac:dyDescent="0.25">
      <c r="A659" s="77"/>
      <c r="B659" s="74"/>
      <c r="C659" s="24" t="s">
        <v>13</v>
      </c>
      <c r="D659" s="23">
        <f t="shared" si="29"/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85"/>
    </row>
    <row r="660" spans="1:10" ht="13.9" customHeight="1" x14ac:dyDescent="0.25">
      <c r="A660" s="77"/>
      <c r="B660" s="74"/>
      <c r="C660" s="24" t="s">
        <v>14</v>
      </c>
      <c r="D660" s="23">
        <f t="shared" si="29"/>
        <v>0</v>
      </c>
      <c r="E660" s="23">
        <v>0</v>
      </c>
      <c r="F660" s="23">
        <v>0</v>
      </c>
      <c r="G660" s="23">
        <v>0</v>
      </c>
      <c r="H660" s="23">
        <v>0</v>
      </c>
      <c r="I660" s="23">
        <v>0</v>
      </c>
      <c r="J660" s="85"/>
    </row>
    <row r="661" spans="1:10" x14ac:dyDescent="0.25">
      <c r="A661" s="78"/>
      <c r="B661" s="75"/>
      <c r="C661" s="24" t="s">
        <v>15</v>
      </c>
      <c r="D661" s="23">
        <f t="shared" si="29"/>
        <v>4149515.5500000003</v>
      </c>
      <c r="E661" s="23">
        <v>761379</v>
      </c>
      <c r="F661" s="23">
        <f>761379</f>
        <v>761379</v>
      </c>
      <c r="G661" s="23">
        <f>761379+114206.85</f>
        <v>875585.85</v>
      </c>
      <c r="H661" s="23">
        <f>761379-4.21+114211.06</f>
        <v>875585.85000000009</v>
      </c>
      <c r="I661" s="23">
        <v>875585.85</v>
      </c>
      <c r="J661" s="85"/>
    </row>
    <row r="662" spans="1:10" ht="13.15" customHeight="1" x14ac:dyDescent="0.25">
      <c r="A662" s="76" t="s">
        <v>249</v>
      </c>
      <c r="B662" s="73" t="s">
        <v>10</v>
      </c>
      <c r="C662" s="24" t="s">
        <v>11</v>
      </c>
      <c r="D662" s="23">
        <f t="shared" ref="D662:D693" si="32">SUM(E662:I662)</f>
        <v>101.04000000000002</v>
      </c>
      <c r="E662" s="23">
        <f>SUM(E663:E665)</f>
        <v>14.74</v>
      </c>
      <c r="F662" s="23">
        <f>SUM(F663:F665)</f>
        <v>19.670000000000002</v>
      </c>
      <c r="G662" s="23">
        <f>SUM(G663:G665)</f>
        <v>22.21</v>
      </c>
      <c r="H662" s="23">
        <f>SUM(H663:H665)</f>
        <v>22.21</v>
      </c>
      <c r="I662" s="23">
        <f>SUM(I663:I665)</f>
        <v>22.21</v>
      </c>
      <c r="J662" s="85"/>
    </row>
    <row r="663" spans="1:10" ht="13.15" customHeight="1" x14ac:dyDescent="0.25">
      <c r="A663" s="77"/>
      <c r="B663" s="74"/>
      <c r="C663" s="24" t="s">
        <v>13</v>
      </c>
      <c r="D663" s="23">
        <f t="shared" si="32"/>
        <v>0</v>
      </c>
      <c r="E663" s="23">
        <v>0</v>
      </c>
      <c r="F663" s="23">
        <v>0</v>
      </c>
      <c r="G663" s="23">
        <v>0</v>
      </c>
      <c r="H663" s="23">
        <v>0</v>
      </c>
      <c r="I663" s="23">
        <v>0</v>
      </c>
      <c r="J663" s="85"/>
    </row>
    <row r="664" spans="1:10" ht="12.6" customHeight="1" x14ac:dyDescent="0.25">
      <c r="A664" s="77"/>
      <c r="B664" s="74"/>
      <c r="C664" s="24" t="s">
        <v>14</v>
      </c>
      <c r="D664" s="23">
        <f t="shared" si="32"/>
        <v>0</v>
      </c>
      <c r="E664" s="23">
        <v>0</v>
      </c>
      <c r="F664" s="23">
        <v>0</v>
      </c>
      <c r="G664" s="23">
        <v>0</v>
      </c>
      <c r="H664" s="23">
        <v>0</v>
      </c>
      <c r="I664" s="23">
        <v>0</v>
      </c>
      <c r="J664" s="85"/>
    </row>
    <row r="665" spans="1:10" ht="41.25" customHeight="1" x14ac:dyDescent="0.25">
      <c r="A665" s="78"/>
      <c r="B665" s="75"/>
      <c r="C665" s="24" t="s">
        <v>15</v>
      </c>
      <c r="D665" s="23">
        <f t="shared" si="32"/>
        <v>101.04000000000002</v>
      </c>
      <c r="E665" s="23">
        <v>14.74</v>
      </c>
      <c r="F665" s="23">
        <f>18+1.67</f>
        <v>19.670000000000002</v>
      </c>
      <c r="G665" s="23">
        <f>18+4.21</f>
        <v>22.21</v>
      </c>
      <c r="H665" s="23">
        <f>18+4.21</f>
        <v>22.21</v>
      </c>
      <c r="I665" s="23">
        <v>22.21</v>
      </c>
      <c r="J665" s="86"/>
    </row>
    <row r="666" spans="1:10" ht="11.45" customHeight="1" x14ac:dyDescent="0.25">
      <c r="A666" s="66" t="s">
        <v>250</v>
      </c>
      <c r="B666" s="73" t="s">
        <v>10</v>
      </c>
      <c r="C666" s="24" t="s">
        <v>11</v>
      </c>
      <c r="D666" s="22">
        <f t="shared" si="32"/>
        <v>15490</v>
      </c>
      <c r="E666" s="22">
        <f>SUM(E667:E669)</f>
        <v>7500</v>
      </c>
      <c r="F666" s="22">
        <f>SUM(F667:F669)</f>
        <v>7990</v>
      </c>
      <c r="G666" s="22"/>
      <c r="H666" s="22"/>
      <c r="I666" s="22"/>
      <c r="J666" s="84" t="s">
        <v>79</v>
      </c>
    </row>
    <row r="667" spans="1:10" ht="12.6" customHeight="1" x14ac:dyDescent="0.25">
      <c r="A667" s="67"/>
      <c r="B667" s="74"/>
      <c r="C667" s="24" t="s">
        <v>13</v>
      </c>
      <c r="D667" s="22">
        <f t="shared" si="32"/>
        <v>0</v>
      </c>
      <c r="E667" s="22">
        <v>0</v>
      </c>
      <c r="F667" s="22">
        <v>0</v>
      </c>
      <c r="G667" s="22"/>
      <c r="H667" s="22"/>
      <c r="I667" s="22"/>
      <c r="J667" s="85"/>
    </row>
    <row r="668" spans="1:10" ht="11.45" customHeight="1" x14ac:dyDescent="0.25">
      <c r="A668" s="67"/>
      <c r="B668" s="74"/>
      <c r="C668" s="24" t="s">
        <v>14</v>
      </c>
      <c r="D668" s="22">
        <f t="shared" si="32"/>
        <v>0</v>
      </c>
      <c r="E668" s="22">
        <v>0</v>
      </c>
      <c r="F668" s="22">
        <v>0</v>
      </c>
      <c r="G668" s="22"/>
      <c r="H668" s="22"/>
      <c r="I668" s="22"/>
      <c r="J668" s="85"/>
    </row>
    <row r="669" spans="1:10" ht="13.15" customHeight="1" x14ac:dyDescent="0.25">
      <c r="A669" s="68"/>
      <c r="B669" s="75"/>
      <c r="C669" s="24" t="s">
        <v>15</v>
      </c>
      <c r="D669" s="22">
        <f t="shared" si="32"/>
        <v>15490</v>
      </c>
      <c r="E669" s="22">
        <v>7500</v>
      </c>
      <c r="F669" s="22">
        <f>3720+4270</f>
        <v>7990</v>
      </c>
      <c r="G669" s="22"/>
      <c r="H669" s="22"/>
      <c r="I669" s="22"/>
      <c r="J669" s="86"/>
    </row>
    <row r="670" spans="1:10" ht="12.6" customHeight="1" x14ac:dyDescent="0.25">
      <c r="A670" s="66" t="s">
        <v>251</v>
      </c>
      <c r="B670" s="73" t="s">
        <v>10</v>
      </c>
      <c r="C670" s="24" t="s">
        <v>11</v>
      </c>
      <c r="D670" s="22">
        <f t="shared" si="32"/>
        <v>170000</v>
      </c>
      <c r="E670" s="22">
        <f>SUM(E671:E673)</f>
        <v>170000</v>
      </c>
      <c r="F670" s="22">
        <f>SUM(F671:F673)</f>
        <v>0</v>
      </c>
      <c r="G670" s="22">
        <f>SUM(G671:G673)</f>
        <v>0</v>
      </c>
      <c r="H670" s="22">
        <f>SUM(H671:H673)</f>
        <v>0</v>
      </c>
      <c r="I670" s="22"/>
      <c r="J670" s="84" t="s">
        <v>80</v>
      </c>
    </row>
    <row r="671" spans="1:10" ht="13.9" customHeight="1" x14ac:dyDescent="0.25">
      <c r="A671" s="67"/>
      <c r="B671" s="74"/>
      <c r="C671" s="24" t="s">
        <v>13</v>
      </c>
      <c r="D671" s="22">
        <f t="shared" si="32"/>
        <v>0</v>
      </c>
      <c r="E671" s="22">
        <v>0</v>
      </c>
      <c r="F671" s="22">
        <v>0</v>
      </c>
      <c r="G671" s="22">
        <v>0</v>
      </c>
      <c r="H671" s="22">
        <v>0</v>
      </c>
      <c r="I671" s="22"/>
      <c r="J671" s="85"/>
    </row>
    <row r="672" spans="1:10" ht="13.15" customHeight="1" x14ac:dyDescent="0.25">
      <c r="A672" s="67"/>
      <c r="B672" s="74"/>
      <c r="C672" s="24" t="s">
        <v>14</v>
      </c>
      <c r="D672" s="22">
        <f t="shared" si="32"/>
        <v>0</v>
      </c>
      <c r="E672" s="22">
        <v>0</v>
      </c>
      <c r="F672" s="22">
        <v>0</v>
      </c>
      <c r="G672" s="22">
        <v>0</v>
      </c>
      <c r="H672" s="22">
        <v>0</v>
      </c>
      <c r="I672" s="22"/>
      <c r="J672" s="85"/>
    </row>
    <row r="673" spans="1:10" ht="12" customHeight="1" x14ac:dyDescent="0.25">
      <c r="A673" s="68"/>
      <c r="B673" s="75"/>
      <c r="C673" s="24" t="s">
        <v>15</v>
      </c>
      <c r="D673" s="22">
        <f t="shared" si="32"/>
        <v>170000</v>
      </c>
      <c r="E673" s="22">
        <f>170000</f>
        <v>170000</v>
      </c>
      <c r="F673" s="22">
        <f>160000-160000</f>
        <v>0</v>
      </c>
      <c r="G673" s="22">
        <v>0</v>
      </c>
      <c r="H673" s="22">
        <v>0</v>
      </c>
      <c r="I673" s="22"/>
      <c r="J673" s="86"/>
    </row>
    <row r="674" spans="1:10" ht="12.6" hidden="1" customHeight="1" x14ac:dyDescent="0.25">
      <c r="A674" s="130" t="s">
        <v>174</v>
      </c>
      <c r="B674" s="73" t="s">
        <v>10</v>
      </c>
      <c r="C674" s="24" t="s">
        <v>11</v>
      </c>
      <c r="D674" s="22">
        <f t="shared" si="32"/>
        <v>0</v>
      </c>
      <c r="E674" s="28"/>
      <c r="F674" s="28"/>
      <c r="G674" s="28"/>
      <c r="H674" s="28"/>
      <c r="I674" s="28"/>
      <c r="J674" s="84" t="s">
        <v>66</v>
      </c>
    </row>
    <row r="675" spans="1:10" ht="13.9" hidden="1" customHeight="1" x14ac:dyDescent="0.25">
      <c r="A675" s="131"/>
      <c r="B675" s="74"/>
      <c r="C675" s="24" t="s">
        <v>13</v>
      </c>
      <c r="D675" s="22">
        <f t="shared" si="32"/>
        <v>0</v>
      </c>
      <c r="E675" s="28"/>
      <c r="F675" s="28"/>
      <c r="G675" s="28"/>
      <c r="H675" s="28"/>
      <c r="I675" s="28"/>
      <c r="J675" s="85"/>
    </row>
    <row r="676" spans="1:10" ht="13.15" hidden="1" customHeight="1" x14ac:dyDescent="0.25">
      <c r="A676" s="131"/>
      <c r="B676" s="74"/>
      <c r="C676" s="24" t="s">
        <v>14</v>
      </c>
      <c r="D676" s="22">
        <f t="shared" si="32"/>
        <v>0</v>
      </c>
      <c r="E676" s="28"/>
      <c r="F676" s="28"/>
      <c r="G676" s="28"/>
      <c r="H676" s="28"/>
      <c r="I676" s="28"/>
      <c r="J676" s="85"/>
    </row>
    <row r="677" spans="1:10" ht="14.45" hidden="1" customHeight="1" x14ac:dyDescent="0.25">
      <c r="A677" s="132"/>
      <c r="B677" s="75"/>
      <c r="C677" s="24" t="s">
        <v>15</v>
      </c>
      <c r="D677" s="22">
        <f t="shared" si="32"/>
        <v>0</v>
      </c>
      <c r="E677" s="28"/>
      <c r="F677" s="28"/>
      <c r="G677" s="28"/>
      <c r="H677" s="28"/>
      <c r="I677" s="28"/>
      <c r="J677" s="86"/>
    </row>
    <row r="678" spans="1:10" ht="13.15" customHeight="1" x14ac:dyDescent="0.25">
      <c r="A678" s="66" t="s">
        <v>252</v>
      </c>
      <c r="B678" s="73" t="s">
        <v>10</v>
      </c>
      <c r="C678" s="24" t="s">
        <v>11</v>
      </c>
      <c r="D678" s="22">
        <f t="shared" si="32"/>
        <v>3989996.58</v>
      </c>
      <c r="E678" s="22">
        <f>SUM(E679:E681)</f>
        <v>382868.52</v>
      </c>
      <c r="F678" s="22">
        <f>SUM(F679:F681)</f>
        <v>462866.85</v>
      </c>
      <c r="G678" s="22">
        <f>SUM(G679:G681)</f>
        <v>1043961.2100000001</v>
      </c>
      <c r="H678" s="22">
        <f>SUM(H679:H681)</f>
        <v>1050150</v>
      </c>
      <c r="I678" s="22">
        <f>SUM(I679:I681)</f>
        <v>1050150</v>
      </c>
      <c r="J678" s="84" t="s">
        <v>81</v>
      </c>
    </row>
    <row r="679" spans="1:10" ht="13.9" customHeight="1" x14ac:dyDescent="0.25">
      <c r="A679" s="67"/>
      <c r="B679" s="74"/>
      <c r="C679" s="24" t="s">
        <v>13</v>
      </c>
      <c r="D679" s="22">
        <f t="shared" si="32"/>
        <v>0</v>
      </c>
      <c r="E679" s="22">
        <f t="shared" ref="E679:G680" si="33">E683+E687+E691</f>
        <v>0</v>
      </c>
      <c r="F679" s="22">
        <f t="shared" si="33"/>
        <v>0</v>
      </c>
      <c r="G679" s="22">
        <f t="shared" si="33"/>
        <v>0</v>
      </c>
      <c r="H679" s="22">
        <f t="shared" ref="H679" si="34">H683+H687+H691</f>
        <v>0</v>
      </c>
      <c r="I679" s="22">
        <f t="shared" ref="I679" si="35">I683+I687+I691</f>
        <v>0</v>
      </c>
      <c r="J679" s="85"/>
    </row>
    <row r="680" spans="1:10" ht="13.15" customHeight="1" x14ac:dyDescent="0.25">
      <c r="A680" s="67"/>
      <c r="B680" s="74"/>
      <c r="C680" s="24" t="s">
        <v>14</v>
      </c>
      <c r="D680" s="22">
        <f t="shared" si="32"/>
        <v>0</v>
      </c>
      <c r="E680" s="22">
        <f t="shared" si="33"/>
        <v>0</v>
      </c>
      <c r="F680" s="22">
        <f t="shared" si="33"/>
        <v>0</v>
      </c>
      <c r="G680" s="22">
        <f t="shared" si="33"/>
        <v>0</v>
      </c>
      <c r="H680" s="22">
        <f t="shared" ref="H680" si="36">H684+H688+H692</f>
        <v>0</v>
      </c>
      <c r="I680" s="22">
        <f t="shared" ref="I680" si="37">I684+I688+I692</f>
        <v>0</v>
      </c>
      <c r="J680" s="85"/>
    </row>
    <row r="681" spans="1:10" ht="14.45" customHeight="1" x14ac:dyDescent="0.25">
      <c r="A681" s="68"/>
      <c r="B681" s="75"/>
      <c r="C681" s="24" t="s">
        <v>15</v>
      </c>
      <c r="D681" s="22">
        <f t="shared" si="32"/>
        <v>3989996.58</v>
      </c>
      <c r="E681" s="22">
        <f>E685+E689+E693</f>
        <v>382868.52</v>
      </c>
      <c r="F681" s="22">
        <f>F685+F689+F693</f>
        <v>462866.85</v>
      </c>
      <c r="G681" s="22">
        <f>G685+G689+G693</f>
        <v>1043961.2100000001</v>
      </c>
      <c r="H681" s="22">
        <f>H685+H689+H693</f>
        <v>1050150</v>
      </c>
      <c r="I681" s="22">
        <f>I685+I689+I693</f>
        <v>1050150</v>
      </c>
      <c r="J681" s="85"/>
    </row>
    <row r="682" spans="1:10" ht="12.6" customHeight="1" x14ac:dyDescent="0.25">
      <c r="A682" s="76" t="s">
        <v>253</v>
      </c>
      <c r="B682" s="73" t="s">
        <v>10</v>
      </c>
      <c r="C682" s="24" t="s">
        <v>11</v>
      </c>
      <c r="D682" s="23">
        <f t="shared" si="32"/>
        <v>3854849.79</v>
      </c>
      <c r="E682" s="23">
        <f>SUM(E683:E685)</f>
        <v>368157.44</v>
      </c>
      <c r="F682" s="23">
        <f>SUM(F683:F685)</f>
        <v>444821.94999999995</v>
      </c>
      <c r="G682" s="23">
        <f>SUM(G683:G685)</f>
        <v>1009870.4</v>
      </c>
      <c r="H682" s="23">
        <f>SUM(H683:H685)</f>
        <v>1016000</v>
      </c>
      <c r="I682" s="23">
        <f>SUM(I683:I685)</f>
        <v>1016000</v>
      </c>
      <c r="J682" s="85"/>
    </row>
    <row r="683" spans="1:10" ht="13.9" customHeight="1" x14ac:dyDescent="0.25">
      <c r="A683" s="77"/>
      <c r="B683" s="74"/>
      <c r="C683" s="24" t="s">
        <v>13</v>
      </c>
      <c r="D683" s="23">
        <f t="shared" si="32"/>
        <v>0</v>
      </c>
      <c r="E683" s="23">
        <v>0</v>
      </c>
      <c r="F683" s="23">
        <v>0</v>
      </c>
      <c r="G683" s="23">
        <v>0</v>
      </c>
      <c r="H683" s="23">
        <v>0</v>
      </c>
      <c r="I683" s="23">
        <v>0</v>
      </c>
      <c r="J683" s="85"/>
    </row>
    <row r="684" spans="1:10" ht="13.15" customHeight="1" x14ac:dyDescent="0.25">
      <c r="A684" s="77"/>
      <c r="B684" s="74"/>
      <c r="C684" s="24" t="s">
        <v>14</v>
      </c>
      <c r="D684" s="23">
        <f t="shared" si="32"/>
        <v>0</v>
      </c>
      <c r="E684" s="23">
        <v>0</v>
      </c>
      <c r="F684" s="23">
        <v>0</v>
      </c>
      <c r="G684" s="23">
        <v>0</v>
      </c>
      <c r="H684" s="23">
        <v>0</v>
      </c>
      <c r="I684" s="23">
        <v>0</v>
      </c>
      <c r="J684" s="85"/>
    </row>
    <row r="685" spans="1:10" ht="13.15" customHeight="1" x14ac:dyDescent="0.25">
      <c r="A685" s="78"/>
      <c r="B685" s="75"/>
      <c r="C685" s="24" t="s">
        <v>15</v>
      </c>
      <c r="D685" s="23">
        <f t="shared" si="32"/>
        <v>3854849.79</v>
      </c>
      <c r="E685" s="23">
        <f>368157.43+0.01</f>
        <v>368157.44</v>
      </c>
      <c r="F685" s="23">
        <f>444821.95+144400-30400-18424.4-95575.6</f>
        <v>444821.94999999995</v>
      </c>
      <c r="G685" s="23">
        <f>424290.4+585580</f>
        <v>1009870.4</v>
      </c>
      <c r="H685" s="23">
        <f>430000+586000</f>
        <v>1016000</v>
      </c>
      <c r="I685" s="23">
        <f>430000+586000</f>
        <v>1016000</v>
      </c>
      <c r="J685" s="85"/>
    </row>
    <row r="686" spans="1:10" ht="12" customHeight="1" x14ac:dyDescent="0.25">
      <c r="A686" s="76" t="s">
        <v>254</v>
      </c>
      <c r="B686" s="73" t="s">
        <v>10</v>
      </c>
      <c r="C686" s="24" t="s">
        <v>11</v>
      </c>
      <c r="D686" s="23">
        <f t="shared" si="32"/>
        <v>72352.45</v>
      </c>
      <c r="E686" s="23">
        <f>SUM(E687:E689)</f>
        <v>8225.57</v>
      </c>
      <c r="F686" s="23">
        <f>SUM(F687:F689)</f>
        <v>9249.7099999999991</v>
      </c>
      <c r="G686" s="23">
        <f>SUM(G687:G689)</f>
        <v>18277.169999999998</v>
      </c>
      <c r="H686" s="23">
        <f>SUM(H687:H689)</f>
        <v>18300</v>
      </c>
      <c r="I686" s="23">
        <f>SUM(I687:I689)</f>
        <v>18300</v>
      </c>
      <c r="J686" s="85"/>
    </row>
    <row r="687" spans="1:10" ht="12.6" customHeight="1" x14ac:dyDescent="0.25">
      <c r="A687" s="77"/>
      <c r="B687" s="74"/>
      <c r="C687" s="24" t="s">
        <v>13</v>
      </c>
      <c r="D687" s="23">
        <f t="shared" si="32"/>
        <v>0</v>
      </c>
      <c r="E687" s="23">
        <v>0</v>
      </c>
      <c r="F687" s="23">
        <v>0</v>
      </c>
      <c r="G687" s="23">
        <v>0</v>
      </c>
      <c r="H687" s="23">
        <v>0</v>
      </c>
      <c r="I687" s="23">
        <v>0</v>
      </c>
      <c r="J687" s="85"/>
    </row>
    <row r="688" spans="1:10" ht="13.15" customHeight="1" x14ac:dyDescent="0.25">
      <c r="A688" s="77"/>
      <c r="B688" s="74"/>
      <c r="C688" s="24" t="s">
        <v>14</v>
      </c>
      <c r="D688" s="23">
        <f t="shared" si="32"/>
        <v>0</v>
      </c>
      <c r="E688" s="23">
        <v>0</v>
      </c>
      <c r="F688" s="23">
        <v>0</v>
      </c>
      <c r="G688" s="23">
        <v>0</v>
      </c>
      <c r="H688" s="23">
        <v>0</v>
      </c>
      <c r="I688" s="23">
        <v>0</v>
      </c>
      <c r="J688" s="85"/>
    </row>
    <row r="689" spans="1:10" ht="12.6" customHeight="1" x14ac:dyDescent="0.25">
      <c r="A689" s="78"/>
      <c r="B689" s="75"/>
      <c r="C689" s="24" t="s">
        <v>15</v>
      </c>
      <c r="D689" s="23">
        <f t="shared" si="32"/>
        <v>72352.45</v>
      </c>
      <c r="E689" s="23">
        <f>7373.07+580.19+272.31</f>
        <v>8225.57</v>
      </c>
      <c r="F689" s="23">
        <f>7822.83+100.24+1480.58-153.94</f>
        <v>9249.7099999999991</v>
      </c>
      <c r="G689" s="23">
        <v>18277.169999999998</v>
      </c>
      <c r="H689" s="23">
        <v>18300</v>
      </c>
      <c r="I689" s="23">
        <v>18300</v>
      </c>
      <c r="J689" s="85"/>
    </row>
    <row r="690" spans="1:10" ht="11.45" customHeight="1" x14ac:dyDescent="0.25">
      <c r="A690" s="76" t="s">
        <v>255</v>
      </c>
      <c r="B690" s="73" t="s">
        <v>10</v>
      </c>
      <c r="C690" s="24" t="s">
        <v>11</v>
      </c>
      <c r="D690" s="23">
        <f t="shared" si="32"/>
        <v>62794.34</v>
      </c>
      <c r="E690" s="23">
        <f>SUM(E691:E693)</f>
        <v>6485.5099999999993</v>
      </c>
      <c r="F690" s="23">
        <f>SUM(F691:F693)</f>
        <v>8795.19</v>
      </c>
      <c r="G690" s="23">
        <f>SUM(G691:G693)</f>
        <v>15813.64</v>
      </c>
      <c r="H690" s="23">
        <f>SUM(H691:H693)</f>
        <v>15850</v>
      </c>
      <c r="I690" s="23">
        <f>SUM(I691:I693)</f>
        <v>15850</v>
      </c>
      <c r="J690" s="85"/>
    </row>
    <row r="691" spans="1:10" ht="12" customHeight="1" x14ac:dyDescent="0.25">
      <c r="A691" s="77"/>
      <c r="B691" s="74"/>
      <c r="C691" s="24" t="s">
        <v>13</v>
      </c>
      <c r="D691" s="23">
        <f t="shared" si="32"/>
        <v>0</v>
      </c>
      <c r="E691" s="23">
        <v>0</v>
      </c>
      <c r="F691" s="23">
        <v>0</v>
      </c>
      <c r="G691" s="23">
        <v>0</v>
      </c>
      <c r="H691" s="23">
        <v>0</v>
      </c>
      <c r="I691" s="23">
        <v>0</v>
      </c>
      <c r="J691" s="85"/>
    </row>
    <row r="692" spans="1:10" ht="12" customHeight="1" x14ac:dyDescent="0.25">
      <c r="A692" s="77"/>
      <c r="B692" s="74"/>
      <c r="C692" s="24" t="s">
        <v>14</v>
      </c>
      <c r="D692" s="23">
        <f t="shared" si="32"/>
        <v>0</v>
      </c>
      <c r="E692" s="23">
        <v>0</v>
      </c>
      <c r="F692" s="23">
        <v>0</v>
      </c>
      <c r="G692" s="23">
        <v>0</v>
      </c>
      <c r="H692" s="23">
        <v>0</v>
      </c>
      <c r="I692" s="23">
        <v>0</v>
      </c>
      <c r="J692" s="85"/>
    </row>
    <row r="693" spans="1:10" x14ac:dyDescent="0.25">
      <c r="A693" s="78"/>
      <c r="B693" s="75"/>
      <c r="C693" s="24" t="s">
        <v>15</v>
      </c>
      <c r="D693" s="23">
        <f t="shared" si="32"/>
        <v>62794.34</v>
      </c>
      <c r="E693" s="23">
        <f>6757.82-272.31</f>
        <v>6485.5099999999993</v>
      </c>
      <c r="F693" s="23">
        <f>7170.05+2162.46+113.35-650.67</f>
        <v>8795.19</v>
      </c>
      <c r="G693" s="23">
        <v>15813.64</v>
      </c>
      <c r="H693" s="23">
        <v>15850</v>
      </c>
      <c r="I693" s="23">
        <v>15850</v>
      </c>
      <c r="J693" s="86"/>
    </row>
    <row r="694" spans="1:10" ht="12.6" customHeight="1" x14ac:dyDescent="0.25">
      <c r="A694" s="66" t="s">
        <v>256</v>
      </c>
      <c r="B694" s="73" t="s">
        <v>39</v>
      </c>
      <c r="C694" s="24" t="s">
        <v>11</v>
      </c>
      <c r="D694" s="22">
        <f t="shared" ref="D694:D725" si="38">SUM(E694:I694)</f>
        <v>1180662.02</v>
      </c>
      <c r="E694" s="22">
        <f>SUM(E696:E697)</f>
        <v>400100</v>
      </c>
      <c r="F694" s="22">
        <f>SUM(F695:F697)</f>
        <v>422105.5</v>
      </c>
      <c r="G694" s="22">
        <f>SUM(G695:G697)</f>
        <v>118456.52</v>
      </c>
      <c r="H694" s="22">
        <f>SUM(H695:H697)</f>
        <v>120000</v>
      </c>
      <c r="I694" s="22">
        <f>SUM(I695:I697)</f>
        <v>120000</v>
      </c>
      <c r="J694" s="84" t="s">
        <v>82</v>
      </c>
    </row>
    <row r="695" spans="1:10" ht="13.9" customHeight="1" x14ac:dyDescent="0.25">
      <c r="A695" s="67"/>
      <c r="B695" s="74"/>
      <c r="C695" s="24" t="s">
        <v>13</v>
      </c>
      <c r="D695" s="22">
        <f t="shared" si="38"/>
        <v>0</v>
      </c>
      <c r="E695" s="22">
        <v>0</v>
      </c>
      <c r="F695" s="22">
        <v>0</v>
      </c>
      <c r="G695" s="22">
        <v>0</v>
      </c>
      <c r="H695" s="22">
        <v>0</v>
      </c>
      <c r="I695" s="22">
        <v>0</v>
      </c>
      <c r="J695" s="85"/>
    </row>
    <row r="696" spans="1:10" ht="13.15" customHeight="1" x14ac:dyDescent="0.25">
      <c r="A696" s="67"/>
      <c r="B696" s="74"/>
      <c r="C696" s="24" t="s">
        <v>14</v>
      </c>
      <c r="D696" s="22">
        <f t="shared" si="38"/>
        <v>0</v>
      </c>
      <c r="E696" s="22">
        <v>0</v>
      </c>
      <c r="F696" s="22">
        <v>0</v>
      </c>
      <c r="G696" s="22">
        <v>0</v>
      </c>
      <c r="H696" s="22">
        <v>0</v>
      </c>
      <c r="I696" s="22">
        <v>0</v>
      </c>
      <c r="J696" s="85"/>
    </row>
    <row r="697" spans="1:10" ht="13.9" customHeight="1" x14ac:dyDescent="0.25">
      <c r="A697" s="68"/>
      <c r="B697" s="75"/>
      <c r="C697" s="24" t="s">
        <v>15</v>
      </c>
      <c r="D697" s="22">
        <f t="shared" si="38"/>
        <v>1180662.02</v>
      </c>
      <c r="E697" s="22">
        <v>400100</v>
      </c>
      <c r="F697" s="22">
        <v>422105.5</v>
      </c>
      <c r="G697" s="22">
        <v>118456.52</v>
      </c>
      <c r="H697" s="22">
        <v>120000</v>
      </c>
      <c r="I697" s="22">
        <v>120000</v>
      </c>
      <c r="J697" s="86"/>
    </row>
    <row r="698" spans="1:10" ht="13.9" customHeight="1" x14ac:dyDescent="0.25">
      <c r="A698" s="66" t="s">
        <v>257</v>
      </c>
      <c r="B698" s="73" t="s">
        <v>10</v>
      </c>
      <c r="C698" s="24" t="s">
        <v>11</v>
      </c>
      <c r="D698" s="22">
        <f t="shared" si="38"/>
        <v>5760</v>
      </c>
      <c r="E698" s="22">
        <f>SUM(E699:E701)</f>
        <v>5760</v>
      </c>
      <c r="F698" s="22"/>
      <c r="G698" s="22"/>
      <c r="H698" s="22"/>
      <c r="I698" s="22"/>
      <c r="J698" s="84" t="s">
        <v>83</v>
      </c>
    </row>
    <row r="699" spans="1:10" ht="13.9" customHeight="1" x14ac:dyDescent="0.25">
      <c r="A699" s="67"/>
      <c r="B699" s="74"/>
      <c r="C699" s="24" t="s">
        <v>13</v>
      </c>
      <c r="D699" s="22">
        <f t="shared" si="38"/>
        <v>0</v>
      </c>
      <c r="E699" s="22">
        <v>0</v>
      </c>
      <c r="F699" s="22"/>
      <c r="G699" s="22"/>
      <c r="H699" s="22"/>
      <c r="I699" s="22"/>
      <c r="J699" s="85"/>
    </row>
    <row r="700" spans="1:10" ht="13.15" customHeight="1" x14ac:dyDescent="0.25">
      <c r="A700" s="67"/>
      <c r="B700" s="74"/>
      <c r="C700" s="24" t="s">
        <v>14</v>
      </c>
      <c r="D700" s="22">
        <f t="shared" si="38"/>
        <v>0</v>
      </c>
      <c r="E700" s="22">
        <v>0</v>
      </c>
      <c r="F700" s="22"/>
      <c r="G700" s="22"/>
      <c r="H700" s="22"/>
      <c r="I700" s="22"/>
      <c r="J700" s="85"/>
    </row>
    <row r="701" spans="1:10" ht="14.45" customHeight="1" x14ac:dyDescent="0.25">
      <c r="A701" s="68"/>
      <c r="B701" s="75"/>
      <c r="C701" s="24" t="s">
        <v>15</v>
      </c>
      <c r="D701" s="22">
        <f t="shared" si="38"/>
        <v>5760</v>
      </c>
      <c r="E701" s="22">
        <v>5760</v>
      </c>
      <c r="F701" s="22"/>
      <c r="G701" s="22"/>
      <c r="H701" s="22"/>
      <c r="I701" s="22"/>
      <c r="J701" s="86"/>
    </row>
    <row r="702" spans="1:10" ht="11.45" hidden="1" customHeight="1" x14ac:dyDescent="0.25">
      <c r="A702" s="130" t="s">
        <v>183</v>
      </c>
      <c r="B702" s="73" t="s">
        <v>39</v>
      </c>
      <c r="C702" s="24" t="s">
        <v>11</v>
      </c>
      <c r="D702" s="22">
        <f t="shared" si="38"/>
        <v>0</v>
      </c>
      <c r="E702" s="28"/>
      <c r="F702" s="22"/>
      <c r="G702" s="22"/>
      <c r="H702" s="22"/>
      <c r="I702" s="22"/>
      <c r="J702" s="84" t="s">
        <v>84</v>
      </c>
    </row>
    <row r="703" spans="1:10" ht="12.6" hidden="1" customHeight="1" x14ac:dyDescent="0.25">
      <c r="A703" s="131"/>
      <c r="B703" s="74"/>
      <c r="C703" s="24" t="s">
        <v>13</v>
      </c>
      <c r="D703" s="22">
        <f t="shared" si="38"/>
        <v>0</v>
      </c>
      <c r="E703" s="28"/>
      <c r="F703" s="22"/>
      <c r="G703" s="22"/>
      <c r="H703" s="22"/>
      <c r="I703" s="22"/>
      <c r="J703" s="85"/>
    </row>
    <row r="704" spans="1:10" ht="12.6" hidden="1" customHeight="1" x14ac:dyDescent="0.25">
      <c r="A704" s="131"/>
      <c r="B704" s="74"/>
      <c r="C704" s="24" t="s">
        <v>14</v>
      </c>
      <c r="D704" s="22">
        <f t="shared" si="38"/>
        <v>0</v>
      </c>
      <c r="E704" s="28"/>
      <c r="F704" s="22"/>
      <c r="G704" s="22"/>
      <c r="H704" s="22"/>
      <c r="I704" s="22"/>
      <c r="J704" s="85"/>
    </row>
    <row r="705" spans="1:10" ht="13.15" hidden="1" customHeight="1" x14ac:dyDescent="0.25">
      <c r="A705" s="132"/>
      <c r="B705" s="75"/>
      <c r="C705" s="24" t="s">
        <v>15</v>
      </c>
      <c r="D705" s="22">
        <f t="shared" si="38"/>
        <v>0</v>
      </c>
      <c r="E705" s="28"/>
      <c r="F705" s="22"/>
      <c r="G705" s="22"/>
      <c r="H705" s="22"/>
      <c r="I705" s="22"/>
      <c r="J705" s="86"/>
    </row>
    <row r="706" spans="1:10" ht="12" hidden="1" customHeight="1" x14ac:dyDescent="0.25">
      <c r="A706" s="130" t="s">
        <v>184</v>
      </c>
      <c r="B706" s="73" t="s">
        <v>10</v>
      </c>
      <c r="C706" s="24" t="s">
        <v>11</v>
      </c>
      <c r="D706" s="22">
        <f t="shared" si="38"/>
        <v>0</v>
      </c>
      <c r="E706" s="28"/>
      <c r="F706" s="22"/>
      <c r="G706" s="22"/>
      <c r="H706" s="22"/>
      <c r="I706" s="22"/>
      <c r="J706" s="84" t="s">
        <v>66</v>
      </c>
    </row>
    <row r="707" spans="1:10" ht="12.6" hidden="1" customHeight="1" x14ac:dyDescent="0.25">
      <c r="A707" s="131"/>
      <c r="B707" s="74"/>
      <c r="C707" s="24" t="s">
        <v>13</v>
      </c>
      <c r="D707" s="22">
        <f t="shared" si="38"/>
        <v>0</v>
      </c>
      <c r="E707" s="28"/>
      <c r="F707" s="22"/>
      <c r="G707" s="22"/>
      <c r="H707" s="22"/>
      <c r="I707" s="22"/>
      <c r="J707" s="85"/>
    </row>
    <row r="708" spans="1:10" ht="11.45" hidden="1" customHeight="1" x14ac:dyDescent="0.25">
      <c r="A708" s="131"/>
      <c r="B708" s="74"/>
      <c r="C708" s="24" t="s">
        <v>14</v>
      </c>
      <c r="D708" s="22">
        <f t="shared" si="38"/>
        <v>0</v>
      </c>
      <c r="E708" s="28"/>
      <c r="F708" s="22"/>
      <c r="G708" s="22"/>
      <c r="H708" s="22"/>
      <c r="I708" s="22"/>
      <c r="J708" s="85"/>
    </row>
    <row r="709" spans="1:10" ht="12.6" hidden="1" customHeight="1" x14ac:dyDescent="0.25">
      <c r="A709" s="132"/>
      <c r="B709" s="75"/>
      <c r="C709" s="24" t="s">
        <v>15</v>
      </c>
      <c r="D709" s="22">
        <f t="shared" si="38"/>
        <v>0</v>
      </c>
      <c r="E709" s="28"/>
      <c r="F709" s="22"/>
      <c r="G709" s="22"/>
      <c r="H709" s="22"/>
      <c r="I709" s="22"/>
      <c r="J709" s="86"/>
    </row>
    <row r="710" spans="1:10" ht="13.9" hidden="1" customHeight="1" x14ac:dyDescent="0.25">
      <c r="A710" s="130" t="s">
        <v>185</v>
      </c>
      <c r="B710" s="73" t="s">
        <v>10</v>
      </c>
      <c r="C710" s="24" t="s">
        <v>11</v>
      </c>
      <c r="D710" s="22">
        <f t="shared" si="38"/>
        <v>0</v>
      </c>
      <c r="E710" s="28"/>
      <c r="F710" s="22"/>
      <c r="G710" s="22"/>
      <c r="H710" s="22"/>
      <c r="I710" s="22"/>
      <c r="J710" s="84" t="s">
        <v>66</v>
      </c>
    </row>
    <row r="711" spans="1:10" ht="12.6" hidden="1" customHeight="1" x14ac:dyDescent="0.25">
      <c r="A711" s="131"/>
      <c r="B711" s="74"/>
      <c r="C711" s="24" t="s">
        <v>13</v>
      </c>
      <c r="D711" s="22">
        <f t="shared" si="38"/>
        <v>0</v>
      </c>
      <c r="E711" s="28"/>
      <c r="F711" s="22"/>
      <c r="G711" s="22"/>
      <c r="H711" s="22"/>
      <c r="I711" s="22"/>
      <c r="J711" s="85"/>
    </row>
    <row r="712" spans="1:10" ht="12.6" hidden="1" customHeight="1" x14ac:dyDescent="0.25">
      <c r="A712" s="131"/>
      <c r="B712" s="74"/>
      <c r="C712" s="24" t="s">
        <v>14</v>
      </c>
      <c r="D712" s="22">
        <f t="shared" si="38"/>
        <v>0</v>
      </c>
      <c r="E712" s="28"/>
      <c r="F712" s="22"/>
      <c r="G712" s="22"/>
      <c r="H712" s="22"/>
      <c r="I712" s="22"/>
      <c r="J712" s="85"/>
    </row>
    <row r="713" spans="1:10" ht="12" hidden="1" customHeight="1" x14ac:dyDescent="0.25">
      <c r="A713" s="132"/>
      <c r="B713" s="75"/>
      <c r="C713" s="24" t="s">
        <v>15</v>
      </c>
      <c r="D713" s="22">
        <f t="shared" si="38"/>
        <v>0</v>
      </c>
      <c r="E713" s="28"/>
      <c r="F713" s="22"/>
      <c r="G713" s="22"/>
      <c r="H713" s="22"/>
      <c r="I713" s="22"/>
      <c r="J713" s="86"/>
    </row>
    <row r="714" spans="1:10" ht="22.5" hidden="1" x14ac:dyDescent="0.25">
      <c r="A714" s="130" t="s">
        <v>186</v>
      </c>
      <c r="B714" s="73" t="s">
        <v>10</v>
      </c>
      <c r="C714" s="24" t="s">
        <v>11</v>
      </c>
      <c r="D714" s="22">
        <f t="shared" si="38"/>
        <v>0</v>
      </c>
      <c r="E714" s="28"/>
      <c r="F714" s="22"/>
      <c r="G714" s="22"/>
      <c r="H714" s="22"/>
      <c r="I714" s="22"/>
      <c r="J714" s="84" t="s">
        <v>66</v>
      </c>
    </row>
    <row r="715" spans="1:10" ht="13.15" hidden="1" customHeight="1" x14ac:dyDescent="0.25">
      <c r="A715" s="131"/>
      <c r="B715" s="74"/>
      <c r="C715" s="24" t="s">
        <v>13</v>
      </c>
      <c r="D715" s="22">
        <f t="shared" si="38"/>
        <v>0</v>
      </c>
      <c r="E715" s="28"/>
      <c r="F715" s="22"/>
      <c r="G715" s="22"/>
      <c r="H715" s="22"/>
      <c r="I715" s="22"/>
      <c r="J715" s="85"/>
    </row>
    <row r="716" spans="1:10" ht="12.6" hidden="1" customHeight="1" x14ac:dyDescent="0.25">
      <c r="A716" s="131"/>
      <c r="B716" s="74"/>
      <c r="C716" s="24" t="s">
        <v>14</v>
      </c>
      <c r="D716" s="22">
        <f t="shared" si="38"/>
        <v>0</v>
      </c>
      <c r="E716" s="28"/>
      <c r="F716" s="22"/>
      <c r="G716" s="22"/>
      <c r="H716" s="22"/>
      <c r="I716" s="22"/>
      <c r="J716" s="85"/>
    </row>
    <row r="717" spans="1:10" ht="13.9" hidden="1" customHeight="1" x14ac:dyDescent="0.25">
      <c r="A717" s="132"/>
      <c r="B717" s="75"/>
      <c r="C717" s="24" t="s">
        <v>15</v>
      </c>
      <c r="D717" s="22">
        <f t="shared" si="38"/>
        <v>0</v>
      </c>
      <c r="E717" s="28"/>
      <c r="F717" s="22"/>
      <c r="G717" s="22"/>
      <c r="H717" s="22"/>
      <c r="I717" s="22"/>
      <c r="J717" s="86"/>
    </row>
    <row r="718" spans="1:10" ht="12.6" hidden="1" customHeight="1" x14ac:dyDescent="0.25">
      <c r="A718" s="130" t="s">
        <v>187</v>
      </c>
      <c r="B718" s="73" t="s">
        <v>39</v>
      </c>
      <c r="C718" s="24" t="s">
        <v>11</v>
      </c>
      <c r="D718" s="22">
        <f t="shared" si="38"/>
        <v>0</v>
      </c>
      <c r="E718" s="28"/>
      <c r="F718" s="22"/>
      <c r="G718" s="22"/>
      <c r="H718" s="22"/>
      <c r="I718" s="22"/>
      <c r="J718" s="84" t="s">
        <v>66</v>
      </c>
    </row>
    <row r="719" spans="1:10" ht="12.6" hidden="1" customHeight="1" x14ac:dyDescent="0.25">
      <c r="A719" s="131"/>
      <c r="B719" s="74"/>
      <c r="C719" s="24" t="s">
        <v>13</v>
      </c>
      <c r="D719" s="22">
        <f t="shared" si="38"/>
        <v>0</v>
      </c>
      <c r="E719" s="28"/>
      <c r="F719" s="22"/>
      <c r="G719" s="22"/>
      <c r="H719" s="22"/>
      <c r="I719" s="22"/>
      <c r="J719" s="85"/>
    </row>
    <row r="720" spans="1:10" ht="12.6" hidden="1" customHeight="1" x14ac:dyDescent="0.25">
      <c r="A720" s="131"/>
      <c r="B720" s="74"/>
      <c r="C720" s="24" t="s">
        <v>14</v>
      </c>
      <c r="D720" s="22">
        <f t="shared" si="38"/>
        <v>0</v>
      </c>
      <c r="E720" s="28"/>
      <c r="F720" s="22"/>
      <c r="G720" s="22"/>
      <c r="H720" s="22"/>
      <c r="I720" s="22"/>
      <c r="J720" s="85"/>
    </row>
    <row r="721" spans="1:10" ht="12.6" hidden="1" customHeight="1" x14ac:dyDescent="0.25">
      <c r="A721" s="132"/>
      <c r="B721" s="75"/>
      <c r="C721" s="24" t="s">
        <v>15</v>
      </c>
      <c r="D721" s="22">
        <f t="shared" si="38"/>
        <v>0</v>
      </c>
      <c r="E721" s="28"/>
      <c r="F721" s="22"/>
      <c r="G721" s="22"/>
      <c r="H721" s="22"/>
      <c r="I721" s="22"/>
      <c r="J721" s="86"/>
    </row>
    <row r="722" spans="1:10" ht="13.15" hidden="1" customHeight="1" x14ac:dyDescent="0.25">
      <c r="A722" s="130" t="s">
        <v>188</v>
      </c>
      <c r="B722" s="73" t="s">
        <v>85</v>
      </c>
      <c r="C722" s="24" t="s">
        <v>11</v>
      </c>
      <c r="D722" s="22">
        <f t="shared" si="38"/>
        <v>0</v>
      </c>
      <c r="E722" s="28"/>
      <c r="F722" s="22"/>
      <c r="G722" s="22"/>
      <c r="H722" s="22"/>
      <c r="I722" s="22"/>
      <c r="J722" s="84" t="s">
        <v>66</v>
      </c>
    </row>
    <row r="723" spans="1:10" ht="12.6" hidden="1" customHeight="1" x14ac:dyDescent="0.25">
      <c r="A723" s="131"/>
      <c r="B723" s="74"/>
      <c r="C723" s="24" t="s">
        <v>13</v>
      </c>
      <c r="D723" s="22">
        <f t="shared" si="38"/>
        <v>0</v>
      </c>
      <c r="E723" s="28"/>
      <c r="F723" s="22"/>
      <c r="G723" s="22"/>
      <c r="H723" s="22"/>
      <c r="I723" s="22"/>
      <c r="J723" s="85"/>
    </row>
    <row r="724" spans="1:10" ht="13.15" hidden="1" customHeight="1" x14ac:dyDescent="0.25">
      <c r="A724" s="131"/>
      <c r="B724" s="74"/>
      <c r="C724" s="24" t="s">
        <v>14</v>
      </c>
      <c r="D724" s="22">
        <f t="shared" si="38"/>
        <v>0</v>
      </c>
      <c r="E724" s="28"/>
      <c r="F724" s="22"/>
      <c r="G724" s="22"/>
      <c r="H724" s="22"/>
      <c r="I724" s="22"/>
      <c r="J724" s="85"/>
    </row>
    <row r="725" spans="1:10" ht="12" hidden="1" customHeight="1" x14ac:dyDescent="0.25">
      <c r="A725" s="132"/>
      <c r="B725" s="75"/>
      <c r="C725" s="24" t="s">
        <v>15</v>
      </c>
      <c r="D725" s="22">
        <f t="shared" si="38"/>
        <v>0</v>
      </c>
      <c r="E725" s="28"/>
      <c r="F725" s="22"/>
      <c r="G725" s="22"/>
      <c r="H725" s="22"/>
      <c r="I725" s="22"/>
      <c r="J725" s="86"/>
    </row>
    <row r="726" spans="1:10" ht="12.6" hidden="1" customHeight="1" x14ac:dyDescent="0.25">
      <c r="A726" s="130" t="s">
        <v>189</v>
      </c>
      <c r="B726" s="73" t="s">
        <v>39</v>
      </c>
      <c r="C726" s="24" t="s">
        <v>11</v>
      </c>
      <c r="D726" s="22">
        <f t="shared" ref="D726:D737" si="39">SUM(E726:I726)</f>
        <v>0</v>
      </c>
      <c r="E726" s="28"/>
      <c r="F726" s="22"/>
      <c r="G726" s="22"/>
      <c r="H726" s="22"/>
      <c r="I726" s="22"/>
      <c r="J726" s="84" t="s">
        <v>86</v>
      </c>
    </row>
    <row r="727" spans="1:10" ht="13.9" hidden="1" customHeight="1" x14ac:dyDescent="0.25">
      <c r="A727" s="131"/>
      <c r="B727" s="74"/>
      <c r="C727" s="24" t="s">
        <v>13</v>
      </c>
      <c r="D727" s="22">
        <f t="shared" si="39"/>
        <v>0</v>
      </c>
      <c r="E727" s="28"/>
      <c r="F727" s="22"/>
      <c r="G727" s="22"/>
      <c r="H727" s="22"/>
      <c r="I727" s="22"/>
      <c r="J727" s="85"/>
    </row>
    <row r="728" spans="1:10" ht="13.9" hidden="1" customHeight="1" x14ac:dyDescent="0.25">
      <c r="A728" s="131"/>
      <c r="B728" s="74"/>
      <c r="C728" s="24" t="s">
        <v>14</v>
      </c>
      <c r="D728" s="22">
        <f t="shared" si="39"/>
        <v>0</v>
      </c>
      <c r="E728" s="28"/>
      <c r="F728" s="22"/>
      <c r="G728" s="22"/>
      <c r="H728" s="22"/>
      <c r="I728" s="22"/>
      <c r="J728" s="85"/>
    </row>
    <row r="729" spans="1:10" hidden="1" x14ac:dyDescent="0.25">
      <c r="A729" s="132"/>
      <c r="B729" s="75"/>
      <c r="C729" s="24" t="s">
        <v>15</v>
      </c>
      <c r="D729" s="22">
        <f t="shared" si="39"/>
        <v>0</v>
      </c>
      <c r="E729" s="28"/>
      <c r="F729" s="22"/>
      <c r="G729" s="22"/>
      <c r="H729" s="22"/>
      <c r="I729" s="22"/>
      <c r="J729" s="86"/>
    </row>
    <row r="730" spans="1:10" ht="12.6" customHeight="1" x14ac:dyDescent="0.25">
      <c r="A730" s="66" t="s">
        <v>258</v>
      </c>
      <c r="B730" s="73" t="s">
        <v>72</v>
      </c>
      <c r="C730" s="24" t="s">
        <v>11</v>
      </c>
      <c r="D730" s="22">
        <f t="shared" si="39"/>
        <v>90000</v>
      </c>
      <c r="E730" s="22">
        <f>SUM(E731:E733)</f>
        <v>90000</v>
      </c>
      <c r="F730" s="22"/>
      <c r="G730" s="22"/>
      <c r="H730" s="22"/>
      <c r="I730" s="22"/>
      <c r="J730" s="84" t="s">
        <v>87</v>
      </c>
    </row>
    <row r="731" spans="1:10" ht="11.45" customHeight="1" x14ac:dyDescent="0.25">
      <c r="A731" s="67"/>
      <c r="B731" s="74"/>
      <c r="C731" s="24" t="s">
        <v>13</v>
      </c>
      <c r="D731" s="22">
        <f t="shared" si="39"/>
        <v>0</v>
      </c>
      <c r="E731" s="22">
        <v>0</v>
      </c>
      <c r="F731" s="22"/>
      <c r="G731" s="22"/>
      <c r="H731" s="22"/>
      <c r="I731" s="22"/>
      <c r="J731" s="85"/>
    </row>
    <row r="732" spans="1:10" ht="12.6" customHeight="1" x14ac:dyDescent="0.25">
      <c r="A732" s="67"/>
      <c r="B732" s="74"/>
      <c r="C732" s="24" t="s">
        <v>14</v>
      </c>
      <c r="D732" s="22">
        <f t="shared" si="39"/>
        <v>0</v>
      </c>
      <c r="E732" s="22">
        <v>0</v>
      </c>
      <c r="F732" s="22"/>
      <c r="G732" s="22"/>
      <c r="H732" s="22"/>
      <c r="I732" s="22"/>
      <c r="J732" s="85"/>
    </row>
    <row r="733" spans="1:10" ht="36" customHeight="1" x14ac:dyDescent="0.25">
      <c r="A733" s="68"/>
      <c r="B733" s="75"/>
      <c r="C733" s="24" t="s">
        <v>15</v>
      </c>
      <c r="D733" s="22">
        <f t="shared" si="39"/>
        <v>90000</v>
      </c>
      <c r="E733" s="22">
        <v>90000</v>
      </c>
      <c r="F733" s="22"/>
      <c r="G733" s="22"/>
      <c r="H733" s="22"/>
      <c r="I733" s="22"/>
      <c r="J733" s="86"/>
    </row>
    <row r="734" spans="1:10" ht="12" customHeight="1" x14ac:dyDescent="0.25">
      <c r="A734" s="66" t="s">
        <v>259</v>
      </c>
      <c r="B734" s="73" t="s">
        <v>10</v>
      </c>
      <c r="C734" s="24" t="s">
        <v>11</v>
      </c>
      <c r="D734" s="22">
        <f t="shared" si="39"/>
        <v>30000</v>
      </c>
      <c r="E734" s="22">
        <f>SUM(E735:E737)</f>
        <v>15000</v>
      </c>
      <c r="F734" s="22">
        <f>SUM(F735:F737)</f>
        <v>15000</v>
      </c>
      <c r="G734" s="22"/>
      <c r="H734" s="22"/>
      <c r="I734" s="22"/>
      <c r="J734" s="84" t="s">
        <v>88</v>
      </c>
    </row>
    <row r="735" spans="1:10" ht="12.6" customHeight="1" x14ac:dyDescent="0.25">
      <c r="A735" s="67"/>
      <c r="B735" s="74"/>
      <c r="C735" s="24" t="s">
        <v>13</v>
      </c>
      <c r="D735" s="22">
        <f t="shared" si="39"/>
        <v>0</v>
      </c>
      <c r="E735" s="22">
        <v>0</v>
      </c>
      <c r="F735" s="22">
        <v>0</v>
      </c>
      <c r="G735" s="22"/>
      <c r="H735" s="22"/>
      <c r="I735" s="22"/>
      <c r="J735" s="85"/>
    </row>
    <row r="736" spans="1:10" ht="12" customHeight="1" x14ac:dyDescent="0.25">
      <c r="A736" s="67"/>
      <c r="B736" s="74"/>
      <c r="C736" s="24" t="s">
        <v>14</v>
      </c>
      <c r="D736" s="22">
        <f t="shared" si="39"/>
        <v>0</v>
      </c>
      <c r="E736" s="22">
        <v>0</v>
      </c>
      <c r="F736" s="22">
        <v>0</v>
      </c>
      <c r="G736" s="22"/>
      <c r="H736" s="22"/>
      <c r="I736" s="22"/>
      <c r="J736" s="85"/>
    </row>
    <row r="737" spans="1:12" ht="13.9" customHeight="1" x14ac:dyDescent="0.25">
      <c r="A737" s="68"/>
      <c r="B737" s="75"/>
      <c r="C737" s="24" t="s">
        <v>15</v>
      </c>
      <c r="D737" s="22">
        <f t="shared" si="39"/>
        <v>30000</v>
      </c>
      <c r="E737" s="22">
        <v>15000</v>
      </c>
      <c r="F737" s="22">
        <f>120000-105000</f>
        <v>15000</v>
      </c>
      <c r="G737" s="22"/>
      <c r="H737" s="22"/>
      <c r="I737" s="22"/>
      <c r="J737" s="86"/>
      <c r="L737" s="17"/>
    </row>
    <row r="738" spans="1:12" x14ac:dyDescent="0.25">
      <c r="A738" s="65" t="s">
        <v>140</v>
      </c>
      <c r="B738" s="65"/>
      <c r="C738" s="65"/>
      <c r="D738" s="11">
        <f t="shared" ref="D738:I738" si="40">SUM(D740:D741)</f>
        <v>33776805.009999998</v>
      </c>
      <c r="E738" s="22">
        <f t="shared" si="40"/>
        <v>5311533.57</v>
      </c>
      <c r="F738" s="22">
        <f>SUM(F740:F741)</f>
        <v>9539680.8999999985</v>
      </c>
      <c r="G738" s="22">
        <f>SUM(G740:G741)</f>
        <v>6374040.4699999997</v>
      </c>
      <c r="H738" s="22">
        <f t="shared" ref="H738" si="41">SUM(H740:H741)</f>
        <v>6257800.3399999999</v>
      </c>
      <c r="I738" s="22">
        <f t="shared" si="40"/>
        <v>6293749.7299999995</v>
      </c>
      <c r="J738" s="6"/>
      <c r="L738" s="17"/>
    </row>
    <row r="739" spans="1:12" x14ac:dyDescent="0.25">
      <c r="A739" s="65" t="s">
        <v>13</v>
      </c>
      <c r="B739" s="65"/>
      <c r="C739" s="65"/>
      <c r="D739" s="18">
        <f>SUM(E739:I739)</f>
        <v>0</v>
      </c>
      <c r="E739" s="22">
        <f>E631+E639+E655+E667+E671+E679+E695+E699+E731+E735</f>
        <v>0</v>
      </c>
      <c r="F739" s="22">
        <f>F735</f>
        <v>0</v>
      </c>
      <c r="G739" s="22">
        <f>G735+G695+G679+G671+G655+G639+G635+G631</f>
        <v>0</v>
      </c>
      <c r="H739" s="22">
        <f>H631+H639+H655+H671+H679+H695+H635</f>
        <v>0</v>
      </c>
      <c r="I739" s="22">
        <f>I631+I639+I655+I671+I679+I695+I635</f>
        <v>0</v>
      </c>
      <c r="J739" s="6"/>
      <c r="L739" s="17"/>
    </row>
    <row r="740" spans="1:12" x14ac:dyDescent="0.25">
      <c r="A740" s="65" t="s">
        <v>14</v>
      </c>
      <c r="B740" s="65"/>
      <c r="C740" s="65"/>
      <c r="D740" s="11">
        <f t="shared" ref="D740:D744" si="42">SUM(E740:I740)</f>
        <v>0</v>
      </c>
      <c r="E740" s="22">
        <f>E634</f>
        <v>0</v>
      </c>
      <c r="F740" s="22">
        <f>F736</f>
        <v>0</v>
      </c>
      <c r="G740" s="22">
        <f>G736+G696+G680+G672+G656+G640+G636+G632</f>
        <v>0</v>
      </c>
      <c r="H740" s="22">
        <f>H634</f>
        <v>0</v>
      </c>
      <c r="I740" s="22">
        <f>I634</f>
        <v>0</v>
      </c>
      <c r="J740" s="6"/>
      <c r="L740" s="17"/>
    </row>
    <row r="741" spans="1:12" x14ac:dyDescent="0.25">
      <c r="A741" s="65" t="s">
        <v>15</v>
      </c>
      <c r="B741" s="65"/>
      <c r="C741" s="65"/>
      <c r="D741" s="11">
        <f t="shared" si="42"/>
        <v>33776805.009999998</v>
      </c>
      <c r="E741" s="22">
        <f>E633+E641+E657+E669+E673+E681+E697+E701+E733+E737</f>
        <v>5311533.57</v>
      </c>
      <c r="F741" s="22">
        <f>F633+F637+F641+F657+F669+F673+F681+F697+F737+F653</f>
        <v>9539680.8999999985</v>
      </c>
      <c r="G741" s="22">
        <f>G633+G641+G657+G673+G681+G697+G637</f>
        <v>6374040.4699999997</v>
      </c>
      <c r="H741" s="22">
        <f>H633+H641+H657+H673+H681+H697+H637</f>
        <v>6257800.3399999999</v>
      </c>
      <c r="I741" s="22">
        <f>I633+I641+I657+I673+I681+I697+I637</f>
        <v>6293749.7299999995</v>
      </c>
      <c r="J741" s="6"/>
    </row>
    <row r="742" spans="1:12" x14ac:dyDescent="0.25">
      <c r="A742" s="65" t="s">
        <v>89</v>
      </c>
      <c r="B742" s="65"/>
      <c r="C742" s="65"/>
      <c r="D742" s="11">
        <f t="shared" si="42"/>
        <v>531996033.83999997</v>
      </c>
      <c r="E742" s="22">
        <f>SUM(E743:E745)</f>
        <v>165794846.22000003</v>
      </c>
      <c r="F742" s="22">
        <f>SUM(F743:F745)</f>
        <v>126251346.07999998</v>
      </c>
      <c r="G742" s="22">
        <f>SUM(G743:G745)</f>
        <v>99211935.700000003</v>
      </c>
      <c r="H742" s="22">
        <f>SUM(H743:H745)</f>
        <v>71381823.570000008</v>
      </c>
      <c r="I742" s="22">
        <f>SUM(I743:I745)</f>
        <v>69356082.269999996</v>
      </c>
      <c r="J742" s="6"/>
    </row>
    <row r="743" spans="1:12" x14ac:dyDescent="0.25">
      <c r="A743" s="65" t="s">
        <v>13</v>
      </c>
      <c r="B743" s="65"/>
      <c r="C743" s="65"/>
      <c r="D743" s="11">
        <f t="shared" si="42"/>
        <v>0</v>
      </c>
      <c r="E743" s="22">
        <f>E341</f>
        <v>0</v>
      </c>
      <c r="F743" s="22">
        <f>F341</f>
        <v>0</v>
      </c>
      <c r="G743" s="22">
        <f>G341</f>
        <v>0</v>
      </c>
      <c r="H743" s="22">
        <f>H341</f>
        <v>0</v>
      </c>
      <c r="I743" s="22">
        <f>I341</f>
        <v>0</v>
      </c>
      <c r="J743" s="6"/>
    </row>
    <row r="744" spans="1:12" x14ac:dyDescent="0.25">
      <c r="A744" s="65" t="s">
        <v>14</v>
      </c>
      <c r="B744" s="65"/>
      <c r="C744" s="65"/>
      <c r="D744" s="11">
        <f t="shared" si="42"/>
        <v>85885114.38000001</v>
      </c>
      <c r="E744" s="22">
        <f>E342+E627+E740</f>
        <v>76792949.470000014</v>
      </c>
      <c r="F744" s="22">
        <f>F342+F627+F740</f>
        <v>9092164.9100000001</v>
      </c>
      <c r="G744" s="22">
        <f>G342+G740+G627</f>
        <v>0</v>
      </c>
      <c r="H744" s="22">
        <f>H342+H627+H740</f>
        <v>0</v>
      </c>
      <c r="I744" s="22">
        <f>I342+I627+I740</f>
        <v>0</v>
      </c>
      <c r="J744" s="6"/>
    </row>
    <row r="745" spans="1:12" x14ac:dyDescent="0.25">
      <c r="A745" s="65" t="s">
        <v>15</v>
      </c>
      <c r="B745" s="65"/>
      <c r="C745" s="65"/>
      <c r="D745" s="11">
        <f>SUM(E745:I745)</f>
        <v>446110919.45999998</v>
      </c>
      <c r="E745" s="22">
        <f>E343+E628+E741</f>
        <v>89001896.75</v>
      </c>
      <c r="F745" s="22">
        <f>F343+F628+F741</f>
        <v>117159181.16999999</v>
      </c>
      <c r="G745" s="22">
        <f>G343+G628+G741</f>
        <v>99211935.700000003</v>
      </c>
      <c r="H745" s="22">
        <f>H741+H628+H343</f>
        <v>71381823.570000008</v>
      </c>
      <c r="I745" s="22">
        <f>I741+I628+I343</f>
        <v>69356082.269999996</v>
      </c>
      <c r="J745" s="6"/>
    </row>
    <row r="746" spans="1:12" x14ac:dyDescent="0.25">
      <c r="A746" s="14"/>
      <c r="B746" s="14"/>
      <c r="C746" s="14"/>
      <c r="D746" s="15"/>
      <c r="E746" s="19"/>
      <c r="F746" s="19"/>
      <c r="G746" s="19"/>
      <c r="H746" s="19"/>
      <c r="I746" s="19"/>
      <c r="J746" s="16"/>
    </row>
    <row r="747" spans="1:12" x14ac:dyDescent="0.25">
      <c r="A747" s="43"/>
      <c r="B747" s="44"/>
      <c r="C747" s="44"/>
      <c r="D747" s="45"/>
      <c r="E747" s="46"/>
      <c r="F747" s="46"/>
      <c r="G747" s="19"/>
      <c r="H747" s="19"/>
      <c r="I747" s="19"/>
      <c r="J747" s="20"/>
    </row>
    <row r="748" spans="1:12" ht="15" customHeight="1" x14ac:dyDescent="0.25">
      <c r="A748" s="100"/>
      <c r="B748" s="100"/>
      <c r="C748" s="100"/>
      <c r="D748" s="100"/>
      <c r="E748" s="100"/>
      <c r="F748" s="100"/>
      <c r="G748" s="100"/>
      <c r="H748" s="100"/>
      <c r="I748" s="100"/>
      <c r="J748" s="100"/>
    </row>
    <row r="749" spans="1:12" x14ac:dyDescent="0.25">
      <c r="A749" s="14"/>
      <c r="B749" s="14"/>
      <c r="C749" s="14"/>
      <c r="D749" s="15"/>
      <c r="E749" s="19"/>
      <c r="F749" s="19"/>
      <c r="G749" s="19"/>
      <c r="H749" s="19"/>
      <c r="I749" s="19"/>
      <c r="J749" s="20"/>
    </row>
    <row r="750" spans="1:12" x14ac:dyDescent="0.25">
      <c r="A750" s="14"/>
      <c r="B750" s="14"/>
      <c r="C750" s="14"/>
      <c r="D750" s="15"/>
      <c r="E750" s="19"/>
      <c r="F750" s="19"/>
      <c r="G750" s="19"/>
      <c r="H750" s="19"/>
      <c r="I750" s="19"/>
      <c r="J750" s="21"/>
    </row>
  </sheetData>
  <mergeCells count="474">
    <mergeCell ref="J19:J55"/>
    <mergeCell ref="A549:A552"/>
    <mergeCell ref="B549:B552"/>
    <mergeCell ref="A553:A556"/>
    <mergeCell ref="B553:B556"/>
    <mergeCell ref="A557:A560"/>
    <mergeCell ref="B557:B560"/>
    <mergeCell ref="J549:J552"/>
    <mergeCell ref="J553:J556"/>
    <mergeCell ref="J557:J560"/>
    <mergeCell ref="A541:A544"/>
    <mergeCell ref="B541:B544"/>
    <mergeCell ref="A529:A532"/>
    <mergeCell ref="B529:B532"/>
    <mergeCell ref="A505:A508"/>
    <mergeCell ref="B505:B508"/>
    <mergeCell ref="J541:J544"/>
    <mergeCell ref="A545:A548"/>
    <mergeCell ref="B545:B548"/>
    <mergeCell ref="J545:J548"/>
    <mergeCell ref="J529:J532"/>
    <mergeCell ref="A533:A536"/>
    <mergeCell ref="B533:B536"/>
    <mergeCell ref="J533:J536"/>
    <mergeCell ref="A537:A540"/>
    <mergeCell ref="B537:B540"/>
    <mergeCell ref="J537:J540"/>
    <mergeCell ref="A517:A520"/>
    <mergeCell ref="B517:B520"/>
    <mergeCell ref="J517:J520"/>
    <mergeCell ref="A521:A524"/>
    <mergeCell ref="B521:B524"/>
    <mergeCell ref="J521:J524"/>
    <mergeCell ref="A525:A528"/>
    <mergeCell ref="B525:B528"/>
    <mergeCell ref="J525:J528"/>
    <mergeCell ref="J240:J271"/>
    <mergeCell ref="A308:A311"/>
    <mergeCell ref="B308:B311"/>
    <mergeCell ref="J308:J311"/>
    <mergeCell ref="J481:J484"/>
    <mergeCell ref="J457:J460"/>
    <mergeCell ref="A453:A456"/>
    <mergeCell ref="B453:B456"/>
    <mergeCell ref="J381:J456"/>
    <mergeCell ref="B429:B432"/>
    <mergeCell ref="A433:A436"/>
    <mergeCell ref="B433:B436"/>
    <mergeCell ref="A437:A440"/>
    <mergeCell ref="B437:B440"/>
    <mergeCell ref="A441:A444"/>
    <mergeCell ref="B441:B444"/>
    <mergeCell ref="A445:A448"/>
    <mergeCell ref="B445:B448"/>
    <mergeCell ref="J300:J303"/>
    <mergeCell ref="A304:A307"/>
    <mergeCell ref="B304:B307"/>
    <mergeCell ref="J304:J307"/>
    <mergeCell ref="B393:B396"/>
    <mergeCell ref="A397:A400"/>
    <mergeCell ref="J710:J713"/>
    <mergeCell ref="A714:A717"/>
    <mergeCell ref="B714:B717"/>
    <mergeCell ref="J734:J737"/>
    <mergeCell ref="A722:A725"/>
    <mergeCell ref="B722:B725"/>
    <mergeCell ref="J722:J725"/>
    <mergeCell ref="A726:A729"/>
    <mergeCell ref="B726:B729"/>
    <mergeCell ref="J726:J729"/>
    <mergeCell ref="A730:A733"/>
    <mergeCell ref="B730:B733"/>
    <mergeCell ref="J730:J733"/>
    <mergeCell ref="A734:A737"/>
    <mergeCell ref="B734:B737"/>
    <mergeCell ref="J678:J693"/>
    <mergeCell ref="B678:B681"/>
    <mergeCell ref="A674:A677"/>
    <mergeCell ref="B674:B677"/>
    <mergeCell ref="J674:J677"/>
    <mergeCell ref="A678:A681"/>
    <mergeCell ref="A682:A685"/>
    <mergeCell ref="J714:J717"/>
    <mergeCell ref="A718:A721"/>
    <mergeCell ref="B718:B721"/>
    <mergeCell ref="J718:J721"/>
    <mergeCell ref="A694:A697"/>
    <mergeCell ref="B694:B697"/>
    <mergeCell ref="J694:J697"/>
    <mergeCell ref="A698:A701"/>
    <mergeCell ref="B698:B701"/>
    <mergeCell ref="J698:J701"/>
    <mergeCell ref="A702:A705"/>
    <mergeCell ref="B702:B705"/>
    <mergeCell ref="J702:J705"/>
    <mergeCell ref="A706:A709"/>
    <mergeCell ref="B706:B709"/>
    <mergeCell ref="J706:J709"/>
    <mergeCell ref="A710:A713"/>
    <mergeCell ref="J670:J673"/>
    <mergeCell ref="A634:A637"/>
    <mergeCell ref="B634:B637"/>
    <mergeCell ref="A650:A653"/>
    <mergeCell ref="B650:B653"/>
    <mergeCell ref="J650:J653"/>
    <mergeCell ref="B662:B665"/>
    <mergeCell ref="J654:J665"/>
    <mergeCell ref="J634:J637"/>
    <mergeCell ref="A638:A641"/>
    <mergeCell ref="B638:B641"/>
    <mergeCell ref="J638:J641"/>
    <mergeCell ref="A662:A665"/>
    <mergeCell ref="A666:A669"/>
    <mergeCell ref="B666:B669"/>
    <mergeCell ref="J666:J669"/>
    <mergeCell ref="A670:A673"/>
    <mergeCell ref="A646:A649"/>
    <mergeCell ref="B646:B649"/>
    <mergeCell ref="J646:J649"/>
    <mergeCell ref="A654:A657"/>
    <mergeCell ref="B654:B657"/>
    <mergeCell ref="A658:A661"/>
    <mergeCell ref="B658:B661"/>
    <mergeCell ref="J630:J633"/>
    <mergeCell ref="A625:C625"/>
    <mergeCell ref="A561:A564"/>
    <mergeCell ref="B561:B564"/>
    <mergeCell ref="A565:A568"/>
    <mergeCell ref="B569:B572"/>
    <mergeCell ref="J561:J564"/>
    <mergeCell ref="A627:C627"/>
    <mergeCell ref="J565:J572"/>
    <mergeCell ref="A609:A612"/>
    <mergeCell ref="B609:B612"/>
    <mergeCell ref="J609:J612"/>
    <mergeCell ref="A573:A576"/>
    <mergeCell ref="B573:B576"/>
    <mergeCell ref="A628:C628"/>
    <mergeCell ref="A629:J629"/>
    <mergeCell ref="A593:A596"/>
    <mergeCell ref="B593:B596"/>
    <mergeCell ref="A613:A616"/>
    <mergeCell ref="B613:B616"/>
    <mergeCell ref="A597:A600"/>
    <mergeCell ref="J613:J616"/>
    <mergeCell ref="A577:A580"/>
    <mergeCell ref="B581:B584"/>
    <mergeCell ref="J505:J508"/>
    <mergeCell ref="A509:A512"/>
    <mergeCell ref="B509:B512"/>
    <mergeCell ref="J509:J512"/>
    <mergeCell ref="A513:A516"/>
    <mergeCell ref="B513:B516"/>
    <mergeCell ref="J513:J516"/>
    <mergeCell ref="A493:A496"/>
    <mergeCell ref="B493:B496"/>
    <mergeCell ref="A497:A500"/>
    <mergeCell ref="B497:B500"/>
    <mergeCell ref="A501:A504"/>
    <mergeCell ref="B501:B504"/>
    <mergeCell ref="J493:J496"/>
    <mergeCell ref="J497:J500"/>
    <mergeCell ref="J501:J504"/>
    <mergeCell ref="J485:J488"/>
    <mergeCell ref="A489:A492"/>
    <mergeCell ref="B489:B492"/>
    <mergeCell ref="J489:J492"/>
    <mergeCell ref="A469:A472"/>
    <mergeCell ref="B469:B472"/>
    <mergeCell ref="J461:J472"/>
    <mergeCell ref="A473:A476"/>
    <mergeCell ref="B473:B476"/>
    <mergeCell ref="A477:A480"/>
    <mergeCell ref="B477:B480"/>
    <mergeCell ref="J477:J480"/>
    <mergeCell ref="J473:J476"/>
    <mergeCell ref="A461:A464"/>
    <mergeCell ref="B461:B464"/>
    <mergeCell ref="A465:A468"/>
    <mergeCell ref="B465:B468"/>
    <mergeCell ref="A481:A484"/>
    <mergeCell ref="B481:B484"/>
    <mergeCell ref="B397:B400"/>
    <mergeCell ref="A401:A404"/>
    <mergeCell ref="B401:B404"/>
    <mergeCell ref="A405:A408"/>
    <mergeCell ref="B405:B408"/>
    <mergeCell ref="A485:A488"/>
    <mergeCell ref="B485:B488"/>
    <mergeCell ref="A449:A452"/>
    <mergeCell ref="B449:B452"/>
    <mergeCell ref="A457:A460"/>
    <mergeCell ref="B457:B460"/>
    <mergeCell ref="A361:A364"/>
    <mergeCell ref="A365:A368"/>
    <mergeCell ref="A369:A372"/>
    <mergeCell ref="A373:A376"/>
    <mergeCell ref="A377:A380"/>
    <mergeCell ref="J357:J380"/>
    <mergeCell ref="A429:A432"/>
    <mergeCell ref="A353:A356"/>
    <mergeCell ref="B353:B356"/>
    <mergeCell ref="A409:A412"/>
    <mergeCell ref="B409:B412"/>
    <mergeCell ref="A413:A416"/>
    <mergeCell ref="B413:B416"/>
    <mergeCell ref="A417:A420"/>
    <mergeCell ref="A421:A424"/>
    <mergeCell ref="B421:B424"/>
    <mergeCell ref="B417:B420"/>
    <mergeCell ref="A425:A428"/>
    <mergeCell ref="A385:A388"/>
    <mergeCell ref="B385:B388"/>
    <mergeCell ref="A389:A392"/>
    <mergeCell ref="B425:B428"/>
    <mergeCell ref="B389:B392"/>
    <mergeCell ref="A393:A396"/>
    <mergeCell ref="A312:A315"/>
    <mergeCell ref="B312:B315"/>
    <mergeCell ref="J312:J315"/>
    <mergeCell ref="A300:A303"/>
    <mergeCell ref="B300:B303"/>
    <mergeCell ref="A316:A319"/>
    <mergeCell ref="B316:B319"/>
    <mergeCell ref="J316:J319"/>
    <mergeCell ref="J336:J339"/>
    <mergeCell ref="A340:C340"/>
    <mergeCell ref="B328:B331"/>
    <mergeCell ref="J345:J348"/>
    <mergeCell ref="J349:J352"/>
    <mergeCell ref="J353:J356"/>
    <mergeCell ref="A357:A360"/>
    <mergeCell ref="B357:B360"/>
    <mergeCell ref="A345:A348"/>
    <mergeCell ref="B345:B348"/>
    <mergeCell ref="A349:A352"/>
    <mergeCell ref="B349:B352"/>
    <mergeCell ref="J228:J231"/>
    <mergeCell ref="B212:B215"/>
    <mergeCell ref="A216:A219"/>
    <mergeCell ref="B216:B219"/>
    <mergeCell ref="A220:A223"/>
    <mergeCell ref="A342:C342"/>
    <mergeCell ref="J272:J275"/>
    <mergeCell ref="B260:B263"/>
    <mergeCell ref="A260:A263"/>
    <mergeCell ref="B244:B247"/>
    <mergeCell ref="A248:A251"/>
    <mergeCell ref="B248:B251"/>
    <mergeCell ref="B240:B243"/>
    <mergeCell ref="A268:A271"/>
    <mergeCell ref="B268:B271"/>
    <mergeCell ref="A244:A247"/>
    <mergeCell ref="B264:B267"/>
    <mergeCell ref="J236:J239"/>
    <mergeCell ref="J232:J235"/>
    <mergeCell ref="A224:A227"/>
    <mergeCell ref="B224:B227"/>
    <mergeCell ref="J276:J291"/>
    <mergeCell ref="J320:J323"/>
    <mergeCell ref="B288:B291"/>
    <mergeCell ref="J224:J227"/>
    <mergeCell ref="A196:A199"/>
    <mergeCell ref="B196:B199"/>
    <mergeCell ref="A200:A203"/>
    <mergeCell ref="B200:B203"/>
    <mergeCell ref="B220:B223"/>
    <mergeCell ref="J220:J223"/>
    <mergeCell ref="J216:J219"/>
    <mergeCell ref="J196:J215"/>
    <mergeCell ref="A212:A215"/>
    <mergeCell ref="B204:B207"/>
    <mergeCell ref="B24:B27"/>
    <mergeCell ref="A28:A31"/>
    <mergeCell ref="A80:A83"/>
    <mergeCell ref="B80:B83"/>
    <mergeCell ref="A60:A63"/>
    <mergeCell ref="B84:B87"/>
    <mergeCell ref="A84:A87"/>
    <mergeCell ref="B64:B67"/>
    <mergeCell ref="A64:A67"/>
    <mergeCell ref="B68:B71"/>
    <mergeCell ref="A68:A71"/>
    <mergeCell ref="A72:A75"/>
    <mergeCell ref="B72:B75"/>
    <mergeCell ref="A52:A55"/>
    <mergeCell ref="B52:B55"/>
    <mergeCell ref="B40:B43"/>
    <mergeCell ref="A40:A43"/>
    <mergeCell ref="A76:A79"/>
    <mergeCell ref="B76:B79"/>
    <mergeCell ref="A48:A51"/>
    <mergeCell ref="B48:B51"/>
    <mergeCell ref="B56:B59"/>
    <mergeCell ref="A44:A47"/>
    <mergeCell ref="B44:B47"/>
    <mergeCell ref="A19:A23"/>
    <mergeCell ref="A36:A39"/>
    <mergeCell ref="A5:J5"/>
    <mergeCell ref="A6:J6"/>
    <mergeCell ref="A9:J9"/>
    <mergeCell ref="A8:J8"/>
    <mergeCell ref="A7:J7"/>
    <mergeCell ref="A10:A12"/>
    <mergeCell ref="B10:B12"/>
    <mergeCell ref="J10:J12"/>
    <mergeCell ref="D11:D12"/>
    <mergeCell ref="C10:C12"/>
    <mergeCell ref="D10:I10"/>
    <mergeCell ref="E11:I11"/>
    <mergeCell ref="A14:J14"/>
    <mergeCell ref="B28:B31"/>
    <mergeCell ref="A15:A18"/>
    <mergeCell ref="B15:B18"/>
    <mergeCell ref="B36:B39"/>
    <mergeCell ref="J15:J18"/>
    <mergeCell ref="B32:B35"/>
    <mergeCell ref="A32:A35"/>
    <mergeCell ref="B19:B23"/>
    <mergeCell ref="A24:A27"/>
    <mergeCell ref="J56:J87"/>
    <mergeCell ref="B60:B63"/>
    <mergeCell ref="J100:J139"/>
    <mergeCell ref="J140:J171"/>
    <mergeCell ref="A56:A59"/>
    <mergeCell ref="B128:B131"/>
    <mergeCell ref="B100:B103"/>
    <mergeCell ref="A96:A99"/>
    <mergeCell ref="B96:B99"/>
    <mergeCell ref="A92:A95"/>
    <mergeCell ref="B92:B95"/>
    <mergeCell ref="J88:J99"/>
    <mergeCell ref="A100:A103"/>
    <mergeCell ref="B88:B91"/>
    <mergeCell ref="A88:A91"/>
    <mergeCell ref="B132:B135"/>
    <mergeCell ref="A144:A147"/>
    <mergeCell ref="A104:A107"/>
    <mergeCell ref="B104:B107"/>
    <mergeCell ref="A108:A111"/>
    <mergeCell ref="B108:B111"/>
    <mergeCell ref="A112:A115"/>
    <mergeCell ref="B112:B115"/>
    <mergeCell ref="A116:A119"/>
    <mergeCell ref="B116:B119"/>
    <mergeCell ref="A120:A123"/>
    <mergeCell ref="B120:B123"/>
    <mergeCell ref="A164:A167"/>
    <mergeCell ref="B164:B167"/>
    <mergeCell ref="A152:A155"/>
    <mergeCell ref="A176:A179"/>
    <mergeCell ref="B176:B179"/>
    <mergeCell ref="A128:A131"/>
    <mergeCell ref="A168:A171"/>
    <mergeCell ref="B168:B171"/>
    <mergeCell ref="A140:A143"/>
    <mergeCell ref="B140:B143"/>
    <mergeCell ref="A124:A127"/>
    <mergeCell ref="B124:B127"/>
    <mergeCell ref="A132:A135"/>
    <mergeCell ref="A136:A139"/>
    <mergeCell ref="B136:B139"/>
    <mergeCell ref="A148:A151"/>
    <mergeCell ref="J172:J175"/>
    <mergeCell ref="B144:B147"/>
    <mergeCell ref="B188:B191"/>
    <mergeCell ref="B152:B155"/>
    <mergeCell ref="A172:A175"/>
    <mergeCell ref="A156:A159"/>
    <mergeCell ref="A192:A195"/>
    <mergeCell ref="A184:A187"/>
    <mergeCell ref="B184:B187"/>
    <mergeCell ref="A188:A191"/>
    <mergeCell ref="B148:B151"/>
    <mergeCell ref="B172:B175"/>
    <mergeCell ref="B156:B159"/>
    <mergeCell ref="A160:A163"/>
    <mergeCell ref="B160:B163"/>
    <mergeCell ref="A180:A183"/>
    <mergeCell ref="B180:B183"/>
    <mergeCell ref="J176:J195"/>
    <mergeCell ref="A748:J748"/>
    <mergeCell ref="A745:C745"/>
    <mergeCell ref="J642:J645"/>
    <mergeCell ref="A272:A275"/>
    <mergeCell ref="B272:B275"/>
    <mergeCell ref="A228:A231"/>
    <mergeCell ref="B192:B195"/>
    <mergeCell ref="A208:A211"/>
    <mergeCell ref="B208:B211"/>
    <mergeCell ref="A204:A207"/>
    <mergeCell ref="A256:A259"/>
    <mergeCell ref="B256:B259"/>
    <mergeCell ref="A252:A255"/>
    <mergeCell ref="B252:B255"/>
    <mergeCell ref="A240:A243"/>
    <mergeCell ref="A264:A267"/>
    <mergeCell ref="A738:C738"/>
    <mergeCell ref="A740:C740"/>
    <mergeCell ref="A741:C741"/>
    <mergeCell ref="A336:A339"/>
    <mergeCell ref="B336:B339"/>
    <mergeCell ref="A324:A327"/>
    <mergeCell ref="B324:B327"/>
    <mergeCell ref="A328:A331"/>
    <mergeCell ref="J573:J604"/>
    <mergeCell ref="B617:B620"/>
    <mergeCell ref="A617:A620"/>
    <mergeCell ref="A621:A624"/>
    <mergeCell ref="B621:B624"/>
    <mergeCell ref="B577:B580"/>
    <mergeCell ref="A581:A584"/>
    <mergeCell ref="B332:B335"/>
    <mergeCell ref="A332:A335"/>
    <mergeCell ref="A585:A588"/>
    <mergeCell ref="B585:B588"/>
    <mergeCell ref="A589:A592"/>
    <mergeCell ref="B589:B592"/>
    <mergeCell ref="A569:A572"/>
    <mergeCell ref="B565:B568"/>
    <mergeCell ref="A343:C343"/>
    <mergeCell ref="A341:C341"/>
    <mergeCell ref="A381:A384"/>
    <mergeCell ref="B381:B384"/>
    <mergeCell ref="B361:B364"/>
    <mergeCell ref="B365:B368"/>
    <mergeCell ref="B369:B372"/>
    <mergeCell ref="B373:B376"/>
    <mergeCell ref="B377:B380"/>
    <mergeCell ref="B228:B231"/>
    <mergeCell ref="A232:A235"/>
    <mergeCell ref="B232:B235"/>
    <mergeCell ref="A236:A239"/>
    <mergeCell ref="B236:B239"/>
    <mergeCell ref="A344:J344"/>
    <mergeCell ref="J324:J327"/>
    <mergeCell ref="J328:J331"/>
    <mergeCell ref="J332:J335"/>
    <mergeCell ref="A320:A323"/>
    <mergeCell ref="B320:B323"/>
    <mergeCell ref="A280:A283"/>
    <mergeCell ref="A284:A287"/>
    <mergeCell ref="B280:B283"/>
    <mergeCell ref="B284:B287"/>
    <mergeCell ref="A288:A291"/>
    <mergeCell ref="A276:A279"/>
    <mergeCell ref="B276:B279"/>
    <mergeCell ref="A292:A295"/>
    <mergeCell ref="B292:B295"/>
    <mergeCell ref="J292:J295"/>
    <mergeCell ref="A296:A299"/>
    <mergeCell ref="B296:B299"/>
    <mergeCell ref="J296:J299"/>
    <mergeCell ref="A742:C742"/>
    <mergeCell ref="A744:C744"/>
    <mergeCell ref="A743:C743"/>
    <mergeCell ref="A642:A645"/>
    <mergeCell ref="B597:B600"/>
    <mergeCell ref="A626:C626"/>
    <mergeCell ref="A630:A633"/>
    <mergeCell ref="B630:B633"/>
    <mergeCell ref="B670:B673"/>
    <mergeCell ref="B682:B685"/>
    <mergeCell ref="A686:A689"/>
    <mergeCell ref="B686:B689"/>
    <mergeCell ref="A690:A693"/>
    <mergeCell ref="B690:B693"/>
    <mergeCell ref="B710:B713"/>
    <mergeCell ref="A601:A604"/>
    <mergeCell ref="B601:B604"/>
    <mergeCell ref="A605:A608"/>
    <mergeCell ref="B605:B608"/>
    <mergeCell ref="B642:B645"/>
    <mergeCell ref="A739:C739"/>
  </mergeCells>
  <phoneticPr fontId="1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rowBreaks count="10" manualBreakCount="10">
    <brk id="47" max="9" man="1"/>
    <brk id="137" max="9" man="1"/>
    <brk id="201" max="9" man="1"/>
    <brk id="261" max="9" man="1"/>
    <brk id="314" max="9" man="1"/>
    <brk id="360" max="9" man="1"/>
    <brk id="551" max="9" man="1"/>
    <brk id="602" max="9" man="1"/>
    <brk id="661" max="9" man="1"/>
    <brk id="74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E18"/>
    </sheetView>
  </sheetViews>
  <sheetFormatPr defaultRowHeight="15" x14ac:dyDescent="0.25"/>
  <cols>
    <col min="1" max="1" width="37.140625" customWidth="1"/>
    <col min="2" max="2" width="22.140625" customWidth="1"/>
    <col min="3" max="3" width="12.42578125" customWidth="1"/>
    <col min="4" max="4" width="0" hidden="1" customWidth="1"/>
    <col min="5" max="5" width="15.85546875" customWidth="1"/>
  </cols>
  <sheetData>
    <row r="1" spans="1:5" ht="38.450000000000003" customHeight="1" x14ac:dyDescent="0.25">
      <c r="A1" s="6" t="s">
        <v>45</v>
      </c>
      <c r="B1" s="5" t="s">
        <v>39</v>
      </c>
      <c r="C1" s="5" t="s">
        <v>7</v>
      </c>
      <c r="D1" s="11"/>
      <c r="E1" s="10">
        <v>8664832.3300000001</v>
      </c>
    </row>
    <row r="2" spans="1:5" ht="14.45" customHeight="1" x14ac:dyDescent="0.25">
      <c r="A2" s="4" t="s">
        <v>47</v>
      </c>
      <c r="B2" s="5" t="s">
        <v>39</v>
      </c>
      <c r="C2" s="5" t="s">
        <v>7</v>
      </c>
      <c r="D2" s="13">
        <f t="shared" ref="D2:D8" si="0">SUM(E2:I2)</f>
        <v>7350000</v>
      </c>
      <c r="E2" s="12">
        <v>7350000</v>
      </c>
    </row>
    <row r="3" spans="1:5" ht="22.9" hidden="1" customHeight="1" x14ac:dyDescent="0.25">
      <c r="A3" s="4" t="s">
        <v>48</v>
      </c>
      <c r="B3" s="5" t="s">
        <v>39</v>
      </c>
      <c r="C3" s="5" t="s">
        <v>7</v>
      </c>
      <c r="D3" s="13">
        <f t="shared" si="0"/>
        <v>0</v>
      </c>
      <c r="E3" s="12"/>
    </row>
    <row r="4" spans="1:5" ht="17.45" hidden="1" customHeight="1" x14ac:dyDescent="0.25">
      <c r="A4" s="4" t="s">
        <v>49</v>
      </c>
      <c r="B4" s="5" t="s">
        <v>50</v>
      </c>
      <c r="C4" s="5" t="s">
        <v>7</v>
      </c>
      <c r="D4" s="13">
        <f t="shared" si="0"/>
        <v>0</v>
      </c>
      <c r="E4" s="12"/>
    </row>
    <row r="5" spans="1:5" ht="17.45" hidden="1" customHeight="1" x14ac:dyDescent="0.25">
      <c r="A5" s="4" t="s">
        <v>51</v>
      </c>
      <c r="B5" s="5" t="s">
        <v>39</v>
      </c>
      <c r="C5" s="5" t="s">
        <v>7</v>
      </c>
      <c r="D5" s="13">
        <f t="shared" si="0"/>
        <v>0</v>
      </c>
      <c r="E5" s="12"/>
    </row>
    <row r="6" spans="1:5" ht="24" hidden="1" customHeight="1" x14ac:dyDescent="0.25">
      <c r="A6" s="4" t="s">
        <v>52</v>
      </c>
      <c r="B6" s="5" t="s">
        <v>39</v>
      </c>
      <c r="C6" s="5" t="s">
        <v>7</v>
      </c>
      <c r="D6" s="13">
        <f t="shared" si="0"/>
        <v>0</v>
      </c>
      <c r="E6" s="12"/>
    </row>
    <row r="7" spans="1:5" ht="27.6" hidden="1" customHeight="1" x14ac:dyDescent="0.25">
      <c r="A7" s="4" t="s">
        <v>53</v>
      </c>
      <c r="B7" s="5" t="s">
        <v>39</v>
      </c>
      <c r="C7" s="5" t="s">
        <v>7</v>
      </c>
      <c r="D7" s="13">
        <f t="shared" si="0"/>
        <v>0</v>
      </c>
      <c r="E7" s="12"/>
    </row>
    <row r="8" spans="1:5" ht="23.45" hidden="1" customHeight="1" x14ac:dyDescent="0.25">
      <c r="A8" s="4" t="s">
        <v>54</v>
      </c>
      <c r="B8" s="5" t="s">
        <v>39</v>
      </c>
      <c r="C8" s="5" t="s">
        <v>7</v>
      </c>
      <c r="D8" s="13">
        <f t="shared" si="0"/>
        <v>0</v>
      </c>
      <c r="E8" s="12"/>
    </row>
    <row r="9" spans="1:5" ht="18.600000000000001" hidden="1" customHeight="1" x14ac:dyDescent="0.25">
      <c r="A9" s="4" t="s">
        <v>55</v>
      </c>
      <c r="B9" s="5" t="s">
        <v>39</v>
      </c>
      <c r="C9" s="5" t="s">
        <v>7</v>
      </c>
      <c r="D9" s="13">
        <f>SUM(E9:I9)</f>
        <v>0</v>
      </c>
      <c r="E9" s="12"/>
    </row>
    <row r="10" spans="1:5" ht="21.6" hidden="1" customHeight="1" x14ac:dyDescent="0.25">
      <c r="A10" s="4" t="s">
        <v>56</v>
      </c>
      <c r="B10" s="5" t="s">
        <v>39</v>
      </c>
      <c r="C10" s="5" t="s">
        <v>7</v>
      </c>
      <c r="D10" s="13">
        <f t="shared" ref="D10:D18" si="1">SUM(E10:I10)</f>
        <v>0</v>
      </c>
      <c r="E10" s="12"/>
    </row>
    <row r="11" spans="1:5" ht="22.9" customHeight="1" x14ac:dyDescent="0.25">
      <c r="A11" s="4" t="s">
        <v>57</v>
      </c>
      <c r="B11" s="5" t="s">
        <v>39</v>
      </c>
      <c r="C11" s="5" t="s">
        <v>7</v>
      </c>
      <c r="D11" s="13">
        <f t="shared" si="1"/>
        <v>156.1</v>
      </c>
      <c r="E11" s="12">
        <v>156.1</v>
      </c>
    </row>
    <row r="12" spans="1:5" ht="25.9" customHeight="1" x14ac:dyDescent="0.25">
      <c r="A12" s="4" t="s">
        <v>58</v>
      </c>
      <c r="B12" s="5" t="s">
        <v>39</v>
      </c>
      <c r="C12" s="5" t="s">
        <v>7</v>
      </c>
      <c r="D12" s="13">
        <f t="shared" si="1"/>
        <v>167.5</v>
      </c>
      <c r="E12" s="12">
        <v>167.5</v>
      </c>
    </row>
    <row r="13" spans="1:5" ht="22.9" customHeight="1" x14ac:dyDescent="0.25">
      <c r="A13" s="4" t="s">
        <v>59</v>
      </c>
      <c r="B13" s="5" t="s">
        <v>39</v>
      </c>
      <c r="C13" s="5" t="s">
        <v>7</v>
      </c>
      <c r="D13" s="13">
        <f t="shared" si="1"/>
        <v>147.69999999999999</v>
      </c>
      <c r="E13" s="12">
        <v>147.69999999999999</v>
      </c>
    </row>
    <row r="14" spans="1:5" ht="16.149999999999999" customHeight="1" x14ac:dyDescent="0.25">
      <c r="A14" s="4" t="s">
        <v>60</v>
      </c>
      <c r="B14" s="5" t="s">
        <v>39</v>
      </c>
      <c r="C14" s="5" t="s">
        <v>7</v>
      </c>
      <c r="D14" s="13">
        <f t="shared" si="1"/>
        <v>170.2</v>
      </c>
      <c r="E14" s="12">
        <v>170.2</v>
      </c>
    </row>
    <row r="15" spans="1:5" ht="20.45" customHeight="1" x14ac:dyDescent="0.25">
      <c r="A15" s="4" t="s">
        <v>61</v>
      </c>
      <c r="B15" s="5" t="s">
        <v>39</v>
      </c>
      <c r="C15" s="5" t="s">
        <v>7</v>
      </c>
      <c r="D15" s="13">
        <f t="shared" si="1"/>
        <v>97.7</v>
      </c>
      <c r="E15" s="12">
        <v>97.7</v>
      </c>
    </row>
    <row r="16" spans="1:5" ht="14.45" customHeight="1" x14ac:dyDescent="0.25">
      <c r="A16" s="4" t="s">
        <v>62</v>
      </c>
      <c r="B16" s="5" t="s">
        <v>39</v>
      </c>
      <c r="C16" s="5" t="s">
        <v>7</v>
      </c>
      <c r="D16" s="13">
        <f t="shared" si="1"/>
        <v>14.8</v>
      </c>
      <c r="E16" s="12">
        <v>14.8</v>
      </c>
    </row>
    <row r="17" spans="1:5" ht="25.9" customHeight="1" x14ac:dyDescent="0.25">
      <c r="A17" s="4" t="s">
        <v>63</v>
      </c>
      <c r="B17" s="5" t="s">
        <v>39</v>
      </c>
      <c r="C17" s="5" t="s">
        <v>7</v>
      </c>
      <c r="D17" s="13">
        <f t="shared" si="1"/>
        <v>322.3</v>
      </c>
      <c r="E17" s="12">
        <v>322.3</v>
      </c>
    </row>
    <row r="18" spans="1:5" ht="14.45" customHeight="1" x14ac:dyDescent="0.25">
      <c r="A18" s="4" t="s">
        <v>64</v>
      </c>
      <c r="B18" s="5" t="s">
        <v>39</v>
      </c>
      <c r="C18" s="5" t="s">
        <v>7</v>
      </c>
      <c r="D18" s="13">
        <f t="shared" si="1"/>
        <v>238.5</v>
      </c>
      <c r="E18" s="12">
        <v>238.5</v>
      </c>
    </row>
  </sheetData>
  <phoneticPr fontId="1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Лист1!Print_Area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jkh3</dc:creator>
  <cp:lastModifiedBy>user</cp:lastModifiedBy>
  <cp:lastPrinted>2023-12-29T09:01:56Z</cp:lastPrinted>
  <dcterms:created xsi:type="dcterms:W3CDTF">2022-10-20T07:42:27Z</dcterms:created>
  <dcterms:modified xsi:type="dcterms:W3CDTF">2023-12-29T09:17:34Z</dcterms:modified>
</cp:coreProperties>
</file>