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108" yWindow="-108" windowWidth="23256" windowHeight="12600"/>
  </bookViews>
  <sheets>
    <sheet name="Лист1" sheetId="1" r:id="rId1"/>
  </sheets>
  <definedNames>
    <definedName name="_xlnm.Print_Titles" localSheetId="0">Лист1!$17:$20</definedName>
    <definedName name="_xlnm.Print_Area" localSheetId="0">Лист1!$A$1:$M$404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4" i="1" l="1"/>
  <c r="H73" i="1"/>
  <c r="H264" i="1" l="1"/>
  <c r="H267" i="1"/>
  <c r="F336" i="1"/>
  <c r="G336" i="1"/>
  <c r="H336" i="1"/>
  <c r="I336" i="1"/>
  <c r="J336" i="1"/>
  <c r="K336" i="1"/>
  <c r="L336" i="1"/>
  <c r="F337" i="1"/>
  <c r="G337" i="1"/>
  <c r="I337" i="1"/>
  <c r="J337" i="1"/>
  <c r="K337" i="1"/>
  <c r="L337" i="1"/>
  <c r="E337" i="1"/>
  <c r="E336" i="1"/>
  <c r="D312" i="1"/>
  <c r="I310" i="1"/>
  <c r="G310" i="1" l="1"/>
  <c r="D311" i="1"/>
  <c r="H277" i="1"/>
  <c r="H113" i="1"/>
  <c r="H112" i="1"/>
  <c r="H115" i="1"/>
  <c r="H116" i="1"/>
  <c r="D334" i="1"/>
  <c r="H331" i="1"/>
  <c r="H330" i="1"/>
  <c r="H329" i="1"/>
  <c r="H326" i="1"/>
  <c r="H324" i="1"/>
  <c r="H389" i="1"/>
  <c r="H358" i="1"/>
  <c r="H164" i="1"/>
  <c r="H387" i="1"/>
  <c r="L387" i="1"/>
  <c r="H353" i="1"/>
  <c r="F398" i="1"/>
  <c r="H398" i="1"/>
  <c r="I398" i="1"/>
  <c r="J398" i="1"/>
  <c r="K398" i="1"/>
  <c r="L398" i="1"/>
  <c r="F399" i="1"/>
  <c r="H399" i="1"/>
  <c r="I399" i="1"/>
  <c r="J399" i="1"/>
  <c r="K399" i="1"/>
  <c r="L399" i="1"/>
  <c r="E399" i="1"/>
  <c r="E398" i="1"/>
  <c r="D396" i="1"/>
  <c r="H153" i="1" l="1"/>
  <c r="H233" i="1"/>
  <c r="H354" i="1"/>
  <c r="H343" i="1"/>
  <c r="D226" i="1" l="1"/>
  <c r="D225" i="1"/>
  <c r="I224" i="1"/>
  <c r="D224" i="1"/>
  <c r="L347" i="1"/>
  <c r="L277" i="1"/>
  <c r="G80" i="1"/>
  <c r="I80" i="1"/>
  <c r="I79" i="1" s="1"/>
  <c r="J80" i="1"/>
  <c r="J79" i="1" s="1"/>
  <c r="K80" i="1"/>
  <c r="L80" i="1"/>
  <c r="F81" i="1"/>
  <c r="G81" i="1"/>
  <c r="I81" i="1"/>
  <c r="J81" i="1"/>
  <c r="K81" i="1"/>
  <c r="L81" i="1"/>
  <c r="L79" i="1" s="1"/>
  <c r="E80" i="1"/>
  <c r="D333" i="1"/>
  <c r="D332" i="1"/>
  <c r="K79" i="1" l="1"/>
  <c r="G79" i="1"/>
  <c r="D395" i="1" l="1"/>
  <c r="I25" i="1"/>
  <c r="I24" i="1"/>
  <c r="I23" i="1" s="1"/>
  <c r="I28" i="1"/>
  <c r="I26" i="1" s="1"/>
  <c r="L22" i="1"/>
  <c r="K22" i="1"/>
  <c r="J22" i="1"/>
  <c r="I22" i="1"/>
  <c r="D241" i="1"/>
  <c r="D240" i="1"/>
  <c r="D239" i="1"/>
  <c r="D120" i="1"/>
  <c r="I187" i="1"/>
  <c r="F186" i="1"/>
  <c r="I186" i="1"/>
  <c r="J186" i="1"/>
  <c r="K186" i="1"/>
  <c r="L186" i="1"/>
  <c r="F187" i="1"/>
  <c r="J187" i="1"/>
  <c r="K187" i="1"/>
  <c r="L187" i="1"/>
  <c r="E187" i="1"/>
  <c r="E186" i="1"/>
  <c r="D232" i="1"/>
  <c r="D231" i="1"/>
  <c r="I230" i="1"/>
  <c r="D230" i="1"/>
  <c r="D229" i="1"/>
  <c r="D228" i="1"/>
  <c r="I227" i="1"/>
  <c r="D227" i="1"/>
  <c r="I221" i="1"/>
  <c r="I218" i="1"/>
  <c r="I215" i="1"/>
  <c r="K185" i="1" l="1"/>
  <c r="L185" i="1"/>
  <c r="J185" i="1"/>
  <c r="F185" i="1"/>
  <c r="I185" i="1"/>
  <c r="F138" i="1"/>
  <c r="F134" i="1"/>
  <c r="H214" i="1" l="1"/>
  <c r="H187" i="1" s="1"/>
  <c r="H213" i="1"/>
  <c r="H186" i="1" s="1"/>
  <c r="H149" i="1"/>
  <c r="H148" i="1"/>
  <c r="H185" i="1" l="1"/>
  <c r="H361" i="1"/>
  <c r="H260" i="1" l="1"/>
  <c r="H251" i="1"/>
  <c r="H155" i="1"/>
  <c r="H322" i="1" l="1"/>
  <c r="E250" i="1" l="1"/>
  <c r="H159" i="1"/>
  <c r="H156" i="1"/>
  <c r="H362" i="1"/>
  <c r="F250" i="1"/>
  <c r="G250" i="1"/>
  <c r="I250" i="1"/>
  <c r="I335" i="1" s="1"/>
  <c r="J250" i="1"/>
  <c r="J335" i="1" s="1"/>
  <c r="K250" i="1"/>
  <c r="K335" i="1" s="1"/>
  <c r="L250" i="1"/>
  <c r="L335" i="1" s="1"/>
  <c r="D267" i="1"/>
  <c r="D266" i="1"/>
  <c r="D394" i="1"/>
  <c r="D331" i="1"/>
  <c r="D330" i="1"/>
  <c r="D329" i="1"/>
  <c r="D328" i="1"/>
  <c r="H388" i="1"/>
  <c r="H246" i="1"/>
  <c r="H118" i="1"/>
  <c r="H80" i="1" s="1"/>
  <c r="H119" i="1"/>
  <c r="H76" i="1"/>
  <c r="H77" i="1"/>
  <c r="H50" i="1"/>
  <c r="H51" i="1"/>
  <c r="H250" i="1" l="1"/>
  <c r="H337" i="1" s="1"/>
  <c r="D327" i="1"/>
  <c r="D326" i="1"/>
  <c r="H165" i="1"/>
  <c r="H171" i="1"/>
  <c r="H163" i="1"/>
  <c r="L154" i="1"/>
  <c r="K154" i="1"/>
  <c r="J154" i="1"/>
  <c r="I154" i="1"/>
  <c r="G154" i="1"/>
  <c r="D161" i="1"/>
  <c r="D238" i="1"/>
  <c r="H111" i="1"/>
  <c r="H81" i="1" s="1"/>
  <c r="H79" i="1" s="1"/>
  <c r="H234" i="1"/>
  <c r="H154" i="1"/>
  <c r="D250" i="1" l="1"/>
  <c r="H320" i="1"/>
  <c r="H335" i="1" s="1"/>
  <c r="H321" i="1"/>
  <c r="D324" i="1" l="1"/>
  <c r="D116" i="1" l="1"/>
  <c r="D115" i="1"/>
  <c r="H114" i="1"/>
  <c r="D114" i="1" s="1"/>
  <c r="D113" i="1"/>
  <c r="H117" i="1"/>
  <c r="D119" i="1"/>
  <c r="D118" i="1"/>
  <c r="D74" i="1"/>
  <c r="D73" i="1"/>
  <c r="H72" i="1"/>
  <c r="D71" i="1"/>
  <c r="D77" i="1"/>
  <c r="D76" i="1"/>
  <c r="H75" i="1"/>
  <c r="D72" i="1" l="1"/>
  <c r="D117" i="1"/>
  <c r="D75" i="1"/>
  <c r="D391" i="1"/>
  <c r="D392" i="1"/>
  <c r="D323" i="1"/>
  <c r="D264" i="1" l="1"/>
  <c r="D263" i="1"/>
  <c r="J402" i="1" l="1"/>
  <c r="F402" i="1"/>
  <c r="E402" i="1"/>
  <c r="L402" i="1" l="1"/>
  <c r="K402" i="1"/>
  <c r="I402" i="1"/>
  <c r="H402" i="1"/>
  <c r="G378" i="1"/>
  <c r="G374" i="1"/>
  <c r="D367" i="1"/>
  <c r="D366" i="1"/>
  <c r="D365" i="1"/>
  <c r="D364" i="1"/>
  <c r="F360" i="1"/>
  <c r="G360" i="1"/>
  <c r="H360" i="1"/>
  <c r="I360" i="1"/>
  <c r="E360" i="1"/>
  <c r="F350" i="1"/>
  <c r="G350" i="1"/>
  <c r="H350" i="1"/>
  <c r="H400" i="1" s="1"/>
  <c r="I350" i="1"/>
  <c r="I400" i="1" s="1"/>
  <c r="J350" i="1"/>
  <c r="K350" i="1"/>
  <c r="L350" i="1"/>
  <c r="E350" i="1"/>
  <c r="L342" i="1"/>
  <c r="K342" i="1"/>
  <c r="J342" i="1"/>
  <c r="I342" i="1"/>
  <c r="H342" i="1"/>
  <c r="E342" i="1"/>
  <c r="G301" i="1"/>
  <c r="F291" i="1"/>
  <c r="D291" i="1" s="1"/>
  <c r="F288" i="1"/>
  <c r="G235" i="1"/>
  <c r="D233" i="1"/>
  <c r="D221" i="1"/>
  <c r="D218" i="1"/>
  <c r="D215" i="1"/>
  <c r="D189" i="1"/>
  <c r="D190" i="1"/>
  <c r="D192" i="1"/>
  <c r="D193" i="1"/>
  <c r="D196" i="1"/>
  <c r="D198" i="1"/>
  <c r="D199" i="1"/>
  <c r="D207" i="1"/>
  <c r="D210" i="1"/>
  <c r="D211" i="1"/>
  <c r="D213" i="1"/>
  <c r="D214" i="1"/>
  <c r="D216" i="1"/>
  <c r="D217" i="1"/>
  <c r="D219" i="1"/>
  <c r="D220" i="1"/>
  <c r="D222" i="1"/>
  <c r="D223" i="1"/>
  <c r="G209" i="1"/>
  <c r="D209" i="1" s="1"/>
  <c r="G197" i="1"/>
  <c r="D197" i="1" s="1"/>
  <c r="G191" i="1"/>
  <c r="D191" i="1" s="1"/>
  <c r="G188" i="1"/>
  <c r="E176" i="1"/>
  <c r="F172" i="1"/>
  <c r="G172" i="1"/>
  <c r="H172" i="1"/>
  <c r="I172" i="1"/>
  <c r="J172" i="1"/>
  <c r="K172" i="1"/>
  <c r="L172" i="1"/>
  <c r="E172" i="1"/>
  <c r="G162" i="1"/>
  <c r="H162" i="1"/>
  <c r="I162" i="1"/>
  <c r="J162" i="1"/>
  <c r="K162" i="1"/>
  <c r="L162" i="1"/>
  <c r="F142" i="1"/>
  <c r="G142" i="1"/>
  <c r="H142" i="1"/>
  <c r="I142" i="1"/>
  <c r="J142" i="1"/>
  <c r="K142" i="1"/>
  <c r="L142" i="1"/>
  <c r="F143" i="1"/>
  <c r="G143" i="1"/>
  <c r="H143" i="1"/>
  <c r="I143" i="1"/>
  <c r="J143" i="1"/>
  <c r="K143" i="1"/>
  <c r="L143" i="1"/>
  <c r="E142" i="1"/>
  <c r="G122" i="1"/>
  <c r="H122" i="1"/>
  <c r="I122" i="1"/>
  <c r="J122" i="1"/>
  <c r="K122" i="1"/>
  <c r="L122" i="1"/>
  <c r="G123" i="1"/>
  <c r="H123" i="1"/>
  <c r="I123" i="1"/>
  <c r="J123" i="1"/>
  <c r="K123" i="1"/>
  <c r="L123" i="1"/>
  <c r="E122" i="1"/>
  <c r="F64" i="1"/>
  <c r="G64" i="1"/>
  <c r="H64" i="1"/>
  <c r="I64" i="1"/>
  <c r="I243" i="1" s="1"/>
  <c r="J64" i="1"/>
  <c r="J243" i="1" s="1"/>
  <c r="K64" i="1"/>
  <c r="L64" i="1"/>
  <c r="F65" i="1"/>
  <c r="G65" i="1"/>
  <c r="H65" i="1"/>
  <c r="I65" i="1"/>
  <c r="J65" i="1"/>
  <c r="K65" i="1"/>
  <c r="K244" i="1" s="1"/>
  <c r="L65" i="1"/>
  <c r="E65" i="1"/>
  <c r="E64" i="1"/>
  <c r="G52" i="1"/>
  <c r="H49" i="1"/>
  <c r="G42" i="1"/>
  <c r="E32" i="1"/>
  <c r="D32" i="1" s="1"/>
  <c r="D26" i="1"/>
  <c r="J23" i="1"/>
  <c r="G24" i="1"/>
  <c r="H24" i="1"/>
  <c r="G25" i="1"/>
  <c r="H25" i="1"/>
  <c r="D28" i="1"/>
  <c r="D27" i="1"/>
  <c r="E25" i="1"/>
  <c r="H244" i="1" l="1"/>
  <c r="H242" i="1" s="1"/>
  <c r="H243" i="1"/>
  <c r="I242" i="1"/>
  <c r="I244" i="1"/>
  <c r="K243" i="1"/>
  <c r="K242" i="1" s="1"/>
  <c r="J244" i="1"/>
  <c r="J242" i="1" s="1"/>
  <c r="L243" i="1"/>
  <c r="L244" i="1"/>
  <c r="I397" i="1"/>
  <c r="H397" i="1"/>
  <c r="K121" i="1"/>
  <c r="L121" i="1"/>
  <c r="H121" i="1"/>
  <c r="J403" i="1"/>
  <c r="I141" i="1"/>
  <c r="L141" i="1"/>
  <c r="J141" i="1"/>
  <c r="H141" i="1"/>
  <c r="F141" i="1"/>
  <c r="I63" i="1"/>
  <c r="I121" i="1"/>
  <c r="K141" i="1"/>
  <c r="G141" i="1"/>
  <c r="K63" i="1"/>
  <c r="G63" i="1"/>
  <c r="F63" i="1"/>
  <c r="G23" i="1"/>
  <c r="K23" i="1"/>
  <c r="G121" i="1"/>
  <c r="J121" i="1"/>
  <c r="E185" i="1"/>
  <c r="L63" i="1"/>
  <c r="H63" i="1"/>
  <c r="J63" i="1"/>
  <c r="E63" i="1"/>
  <c r="H23" i="1"/>
  <c r="G90" i="1"/>
  <c r="L242" i="1" l="1"/>
  <c r="I403" i="1"/>
  <c r="H403" i="1"/>
  <c r="K403" i="1"/>
  <c r="L403" i="1"/>
  <c r="I401" i="1" l="1"/>
  <c r="H401" i="1"/>
  <c r="G306" i="1"/>
  <c r="G304" i="1" l="1"/>
  <c r="G22" i="1"/>
  <c r="H212" i="1" l="1"/>
  <c r="D212" i="1" s="1"/>
  <c r="H147" i="1"/>
  <c r="D147" i="1" s="1"/>
  <c r="D149" i="1"/>
  <c r="D148" i="1"/>
  <c r="D142" i="1" l="1"/>
  <c r="D236" i="1" l="1"/>
  <c r="D237" i="1"/>
  <c r="D234" i="1"/>
  <c r="D235" i="1" l="1"/>
  <c r="G208" i="1"/>
  <c r="G187" i="1" s="1"/>
  <c r="G244" i="1" s="1"/>
  <c r="D208" i="1" l="1"/>
  <c r="G206" i="1"/>
  <c r="D206" i="1" s="1"/>
  <c r="D187" i="1" l="1"/>
  <c r="H60" i="1"/>
  <c r="D51" i="1"/>
  <c r="D50" i="1"/>
  <c r="D49" i="1"/>
  <c r="D261" i="1"/>
  <c r="D262" i="1"/>
  <c r="D265" i="1"/>
  <c r="D259" i="1"/>
  <c r="D393" i="1"/>
  <c r="D390" i="1"/>
  <c r="D389" i="1"/>
  <c r="D388" i="1"/>
  <c r="D387" i="1"/>
  <c r="D386" i="1"/>
  <c r="D385" i="1"/>
  <c r="D380" i="1"/>
  <c r="D379" i="1"/>
  <c r="D377" i="1"/>
  <c r="D376" i="1"/>
  <c r="D375" i="1"/>
  <c r="D369" i="1"/>
  <c r="D368" i="1"/>
  <c r="D358" i="1"/>
  <c r="D357" i="1"/>
  <c r="D353" i="1"/>
  <c r="D352" i="1"/>
  <c r="D351" i="1"/>
  <c r="D346" i="1"/>
  <c r="D344" i="1"/>
  <c r="D340" i="1"/>
  <c r="D325" i="1"/>
  <c r="D322" i="1"/>
  <c r="D321" i="1"/>
  <c r="D320" i="1"/>
  <c r="D319" i="1"/>
  <c r="D318" i="1"/>
  <c r="D315" i="1"/>
  <c r="D314" i="1"/>
  <c r="D313" i="1"/>
  <c r="D310" i="1"/>
  <c r="D300" i="1"/>
  <c r="D299" i="1"/>
  <c r="D297" i="1"/>
  <c r="D295" i="1"/>
  <c r="D294" i="1"/>
  <c r="D293" i="1"/>
  <c r="D292" i="1"/>
  <c r="D290" i="1"/>
  <c r="D289" i="1"/>
  <c r="D287" i="1"/>
  <c r="D285" i="1"/>
  <c r="H284" i="1"/>
  <c r="D281" i="1"/>
  <c r="D279" i="1"/>
  <c r="D278" i="1"/>
  <c r="D277" i="1"/>
  <c r="D275" i="1"/>
  <c r="D274" i="1"/>
  <c r="D273" i="1"/>
  <c r="D272" i="1"/>
  <c r="D271" i="1"/>
  <c r="D252" i="1"/>
  <c r="D253" i="1"/>
  <c r="D254" i="1"/>
  <c r="D255" i="1"/>
  <c r="D256" i="1"/>
  <c r="D257" i="1"/>
  <c r="D258" i="1"/>
  <c r="D251" i="1"/>
  <c r="D249" i="1"/>
  <c r="D247" i="1"/>
  <c r="D260" i="1" l="1"/>
  <c r="D350" i="1"/>
  <c r="D184" i="1"/>
  <c r="D183" i="1"/>
  <c r="D182" i="1"/>
  <c r="D181" i="1"/>
  <c r="D180" i="1"/>
  <c r="D179" i="1"/>
  <c r="D178" i="1"/>
  <c r="D177" i="1"/>
  <c r="D175" i="1"/>
  <c r="D174" i="1"/>
  <c r="D173" i="1"/>
  <c r="D171" i="1"/>
  <c r="D167" i="1"/>
  <c r="D158" i="1"/>
  <c r="D145" i="1"/>
  <c r="D151" i="1"/>
  <c r="D152" i="1"/>
  <c r="D125" i="1"/>
  <c r="D126" i="1"/>
  <c r="D127" i="1"/>
  <c r="D128" i="1"/>
  <c r="D129" i="1"/>
  <c r="D130" i="1"/>
  <c r="D139" i="1"/>
  <c r="D124" i="1"/>
  <c r="D112" i="1"/>
  <c r="D111" i="1"/>
  <c r="D89" i="1"/>
  <c r="D88" i="1"/>
  <c r="D69" i="1"/>
  <c r="D68" i="1"/>
  <c r="D67" i="1"/>
  <c r="D66" i="1"/>
  <c r="D62" i="1"/>
  <c r="D61" i="1"/>
  <c r="D54" i="1"/>
  <c r="D53" i="1"/>
  <c r="D44" i="1"/>
  <c r="D43" i="1"/>
  <c r="D34" i="1"/>
  <c r="D33" i="1"/>
  <c r="D70" i="1"/>
  <c r="L360" i="1" l="1"/>
  <c r="L400" i="1" s="1"/>
  <c r="K360" i="1"/>
  <c r="K400" i="1" s="1"/>
  <c r="J360" i="1"/>
  <c r="J400" i="1" s="1"/>
  <c r="L397" i="1" l="1"/>
  <c r="K397" i="1"/>
  <c r="J397" i="1"/>
  <c r="D361" i="1"/>
  <c r="L401" i="1" l="1"/>
  <c r="K401" i="1"/>
  <c r="J401" i="1"/>
  <c r="D348" i="1"/>
  <c r="D381" i="1"/>
  <c r="D169" i="1" l="1"/>
  <c r="D362" i="1" l="1"/>
  <c r="D363" i="1" l="1"/>
  <c r="G372" i="1"/>
  <c r="G399" i="1" s="1"/>
  <c r="G371" i="1"/>
  <c r="G398" i="1" s="1"/>
  <c r="D398" i="1" s="1"/>
  <c r="D372" i="1" l="1"/>
  <c r="D371" i="1"/>
  <c r="D374" i="1"/>
  <c r="D378" i="1"/>
  <c r="G402" i="1" l="1"/>
  <c r="D384" i="1"/>
  <c r="D305" i="1"/>
  <c r="D303" i="1"/>
  <c r="D383" i="1" l="1"/>
  <c r="G373" i="1" l="1"/>
  <c r="D373" i="1" l="1"/>
  <c r="G370" i="1"/>
  <c r="D370" i="1" s="1"/>
  <c r="G195" i="1"/>
  <c r="G186" i="1" s="1"/>
  <c r="D110" i="1"/>
  <c r="D354" i="1"/>
  <c r="G317" i="1"/>
  <c r="D317" i="1" s="1"/>
  <c r="D163" i="1"/>
  <c r="G243" i="1" l="1"/>
  <c r="G242" i="1" s="1"/>
  <c r="G185" i="1"/>
  <c r="G194" i="1"/>
  <c r="D194" i="1" s="1"/>
  <c r="D195" i="1"/>
  <c r="D402" i="1"/>
  <c r="D185" i="1" l="1"/>
  <c r="D186" i="1"/>
  <c r="D107" i="1"/>
  <c r="D106" i="1"/>
  <c r="D104" i="1"/>
  <c r="D103" i="1"/>
  <c r="D101" i="1"/>
  <c r="D100" i="1"/>
  <c r="D98" i="1"/>
  <c r="D97" i="1"/>
  <c r="D95" i="1"/>
  <c r="D94" i="1"/>
  <c r="G403" i="1" l="1"/>
  <c r="D92" i="1"/>
  <c r="D91" i="1"/>
  <c r="D90" i="1"/>
  <c r="D168" i="1"/>
  <c r="G316" i="1" l="1"/>
  <c r="G335" i="1" s="1"/>
  <c r="D316" i="1" l="1"/>
  <c r="F87" i="1"/>
  <c r="D87" i="1" s="1"/>
  <c r="D188" i="1"/>
  <c r="D360" i="1" l="1"/>
  <c r="D65" i="1" l="1"/>
  <c r="D64" i="1"/>
  <c r="D63" i="1" l="1"/>
  <c r="G284" i="1" l="1"/>
  <c r="D52" i="1"/>
  <c r="G60" i="1"/>
  <c r="D60" i="1" s="1"/>
  <c r="G105" i="1"/>
  <c r="D105" i="1" s="1"/>
  <c r="G108" i="1"/>
  <c r="D108" i="1" s="1"/>
  <c r="D109" i="1" l="1"/>
  <c r="D42" i="1"/>
  <c r="D172" i="1" l="1"/>
  <c r="G102" i="1"/>
  <c r="D102" i="1" s="1"/>
  <c r="G99" i="1"/>
  <c r="D99" i="1" s="1"/>
  <c r="G96" i="1"/>
  <c r="D96" i="1" s="1"/>
  <c r="G93" i="1"/>
  <c r="D93" i="1" s="1"/>
  <c r="D304" i="1" l="1"/>
  <c r="D306" i="1"/>
  <c r="D160" i="1" l="1"/>
  <c r="F159" i="1"/>
  <c r="D159" i="1" s="1"/>
  <c r="D309" i="1"/>
  <c r="D308" i="1"/>
  <c r="D307" i="1"/>
  <c r="D170" i="1" l="1"/>
  <c r="F165" i="1"/>
  <c r="F302" i="1" l="1"/>
  <c r="F157" i="1"/>
  <c r="F166" i="1"/>
  <c r="F156" i="1"/>
  <c r="F154" i="1" s="1"/>
  <c r="D156" i="1" l="1"/>
  <c r="F301" i="1"/>
  <c r="D302" i="1"/>
  <c r="F164" i="1"/>
  <c r="F162" i="1" s="1"/>
  <c r="D164" i="1" l="1"/>
  <c r="D288" i="1" l="1"/>
  <c r="D301" i="1"/>
  <c r="F286" i="1" l="1"/>
  <c r="F284" i="1" s="1"/>
  <c r="D286" i="1" l="1"/>
  <c r="D284" i="1"/>
  <c r="F296" i="1"/>
  <c r="D296" i="1" s="1"/>
  <c r="F298" i="1" l="1"/>
  <c r="D298" i="1" s="1"/>
  <c r="F343" i="1"/>
  <c r="F400" i="1" s="1"/>
  <c r="F356" i="1"/>
  <c r="F355" i="1"/>
  <c r="D355" i="1" s="1"/>
  <c r="F397" i="1" l="1"/>
  <c r="F342" i="1"/>
  <c r="F47" i="1"/>
  <c r="D47" i="1" s="1"/>
  <c r="F57" i="1" l="1"/>
  <c r="D57" i="1" s="1"/>
  <c r="F56" i="1"/>
  <c r="F46" i="1"/>
  <c r="F41" i="1"/>
  <c r="D41" i="1" s="1"/>
  <c r="F40" i="1"/>
  <c r="F38" i="1"/>
  <c r="F37" i="1"/>
  <c r="F25" i="1" l="1"/>
  <c r="D56" i="1"/>
  <c r="F55" i="1"/>
  <c r="F36" i="1"/>
  <c r="D36" i="1" s="1"/>
  <c r="D40" i="1"/>
  <c r="F39" i="1"/>
  <c r="D39" i="1" s="1"/>
  <c r="D46" i="1"/>
  <c r="F45" i="1"/>
  <c r="D45" i="1" s="1"/>
  <c r="D38" i="1"/>
  <c r="D37" i="1"/>
  <c r="D55" i="1"/>
  <c r="D25" i="1" l="1"/>
  <c r="D347" i="1"/>
  <c r="G343" i="1" l="1"/>
  <c r="D248" i="1"/>
  <c r="E356" i="1"/>
  <c r="D356" i="1" s="1"/>
  <c r="D153" i="1"/>
  <c r="G400" i="1" l="1"/>
  <c r="G397" i="1" s="1"/>
  <c r="G342" i="1"/>
  <c r="D342" i="1" s="1"/>
  <c r="D155" i="1"/>
  <c r="D246" i="1"/>
  <c r="D339" i="1"/>
  <c r="D341" i="1"/>
  <c r="D343" i="1"/>
  <c r="G401" i="1" l="1"/>
  <c r="D399" i="1"/>
  <c r="F83" i="1"/>
  <c r="F80" i="1" s="1"/>
  <c r="F79" i="1" s="1"/>
  <c r="D83" i="1" l="1"/>
  <c r="F276" i="1"/>
  <c r="D276" i="1" s="1"/>
  <c r="F135" i="1"/>
  <c r="D135" i="1" s="1"/>
  <c r="D80" i="1" l="1"/>
  <c r="F282" i="1"/>
  <c r="D282" i="1" s="1"/>
  <c r="F131" i="1" l="1"/>
  <c r="D131" i="1" l="1"/>
  <c r="F58" i="1"/>
  <c r="F24" i="1" s="1"/>
  <c r="D138" i="1"/>
  <c r="D134" i="1" l="1"/>
  <c r="F122" i="1"/>
  <c r="F243" i="1" s="1"/>
  <c r="F123" i="1"/>
  <c r="F23" i="1"/>
  <c r="D58" i="1"/>
  <c r="D122" i="1" l="1"/>
  <c r="F403" i="1"/>
  <c r="F121" i="1"/>
  <c r="F268" i="1"/>
  <c r="F335" i="1" l="1"/>
  <c r="F269" i="1"/>
  <c r="D269" i="1" s="1"/>
  <c r="F22" i="1" l="1"/>
  <c r="F244" i="1" s="1"/>
  <c r="F242" i="1" s="1"/>
  <c r="E270" i="1"/>
  <c r="E157" i="1"/>
  <c r="E154" i="1" s="1"/>
  <c r="E132" i="1"/>
  <c r="E150" i="1"/>
  <c r="D150" i="1" s="1"/>
  <c r="E82" i="1"/>
  <c r="E81" i="1" s="1"/>
  <c r="F133" i="1"/>
  <c r="D133" i="1" s="1"/>
  <c r="E146" i="1"/>
  <c r="D146" i="1" s="1"/>
  <c r="E144" i="1"/>
  <c r="E165" i="1"/>
  <c r="E349" i="1"/>
  <c r="D349" i="1" s="1"/>
  <c r="E268" i="1"/>
  <c r="E345" i="1"/>
  <c r="E166" i="1"/>
  <c r="D166" i="1" s="1"/>
  <c r="D176" i="1"/>
  <c r="E35" i="1"/>
  <c r="E400" i="1" l="1"/>
  <c r="E397" i="1" s="1"/>
  <c r="D397" i="1" s="1"/>
  <c r="E79" i="1"/>
  <c r="D165" i="1"/>
  <c r="E162" i="1"/>
  <c r="E244" i="1" s="1"/>
  <c r="D132" i="1"/>
  <c r="E123" i="1"/>
  <c r="E121" i="1" s="1"/>
  <c r="E335" i="1"/>
  <c r="D35" i="1"/>
  <c r="E24" i="1"/>
  <c r="E243" i="1" s="1"/>
  <c r="E143" i="1"/>
  <c r="E141" i="1" s="1"/>
  <c r="D157" i="1"/>
  <c r="D154" i="1"/>
  <c r="D22" i="1"/>
  <c r="D144" i="1"/>
  <c r="D268" i="1"/>
  <c r="D82" i="1"/>
  <c r="D270" i="1"/>
  <c r="D345" i="1"/>
  <c r="E242" i="1" l="1"/>
  <c r="D162" i="1"/>
  <c r="D123" i="1"/>
  <c r="F401" i="1"/>
  <c r="E403" i="1"/>
  <c r="D243" i="1"/>
  <c r="D143" i="1"/>
  <c r="D141" i="1"/>
  <c r="D335" i="1"/>
  <c r="D336" i="1"/>
  <c r="D24" i="1"/>
  <c r="D81" i="1"/>
  <c r="D79" i="1"/>
  <c r="D337" i="1"/>
  <c r="D400" i="1"/>
  <c r="E23" i="1"/>
  <c r="D23" i="1" s="1"/>
  <c r="D121" i="1"/>
  <c r="E401" i="1" l="1"/>
  <c r="D401" i="1" s="1"/>
  <c r="D244" i="1"/>
  <c r="D242" i="1"/>
  <c r="D403" i="1"/>
</calcChain>
</file>

<file path=xl/sharedStrings.xml><?xml version="1.0" encoding="utf-8"?>
<sst xmlns="http://schemas.openxmlformats.org/spreadsheetml/2006/main" count="993" uniqueCount="370">
  <si>
    <t>Приложение № 1</t>
  </si>
  <si>
    <t xml:space="preserve">к муниципальной программе </t>
  </si>
  <si>
    <t>на территории муниципального образования</t>
  </si>
  <si>
    <t>ПЕРЕЧЕНЬ</t>
  </si>
  <si>
    <t>программных мероприятий муниципальной программы</t>
  </si>
  <si>
    <t>муниципального образования «Город Коряжма»</t>
  </si>
  <si>
    <t>«Развитие городского хозяйства на территории муниципального образования</t>
  </si>
  <si>
    <t>Наименование мероприятия</t>
  </si>
  <si>
    <t>Исполнитель</t>
  </si>
  <si>
    <t>Источник финансирования</t>
  </si>
  <si>
    <t>Объем финансирования, тыс. рублей</t>
  </si>
  <si>
    <t>Ожидаемые результаты реализации</t>
  </si>
  <si>
    <t>Всего</t>
  </si>
  <si>
    <t>в том числе по годам</t>
  </si>
  <si>
    <t>Раздел 1. Обеспечение безопасности дорожного движения</t>
  </si>
  <si>
    <t>МУП «Благоустройство»</t>
  </si>
  <si>
    <t>Местный бюджет</t>
  </si>
  <si>
    <t>Всего, в том числе:</t>
  </si>
  <si>
    <t>областной бюджет</t>
  </si>
  <si>
    <t>местный бюджет</t>
  </si>
  <si>
    <t>УМХ и Г</t>
  </si>
  <si>
    <t>МКУ «Организатор перевозок»</t>
  </si>
  <si>
    <t>1.2.5. по ул. Лермонтова (от ул. имени Дыбцына до ул. Архангельской)</t>
  </si>
  <si>
    <t>1.3. Ремонт дорожного покрытия проездов, в том числе:</t>
  </si>
  <si>
    <t xml:space="preserve">1.3.2. вдоль многоквартирного дома № 5 по ул. Советской (со стороны фасада) </t>
  </si>
  <si>
    <t>1.3.4. вдоль многоквартирного дома № 13 по ул. имени М. Х. Сафьяна (частично)</t>
  </si>
  <si>
    <t>Раздел 2. Благоустройство и озеленение</t>
  </si>
  <si>
    <t>Итого по разделу 1, в том числе:</t>
  </si>
  <si>
    <t>2.1. Содержание объектов озеленения</t>
  </si>
  <si>
    <t>2.2. Содержание места массового отдыха граждан у водного объекта</t>
  </si>
  <si>
    <t>2.3. Содержание фонтанов</t>
  </si>
  <si>
    <t>2.4. Приобретение семян люпина многолетнего для посадки в Коряжемской кедровой роще</t>
  </si>
  <si>
    <t>2.5.2. самосвал на базе КАМАЗ грузоподъемностью до 13 тонн</t>
  </si>
  <si>
    <t>2.5.3. погрузчик фронтальный с объемом ковша 1,7-2,0м3</t>
  </si>
  <si>
    <t>2.5.4. трактор МТЗ 82 с навесным оборудованием</t>
  </si>
  <si>
    <t>2.5.5. высоконапорный водоструйный аппарат Посейдон (для промывки ДЛК)</t>
  </si>
  <si>
    <t>2.5.6. виброплита (для уплотнения асфальто-бетонной смеси)</t>
  </si>
  <si>
    <t>2.5.7. бензиновая воздуходувка (для подготовительных работ по ямочному ремонту)</t>
  </si>
  <si>
    <t>2.5.8. разметочная машина</t>
  </si>
  <si>
    <t>2.5.9. снегометатель шнекороторный для трактора</t>
  </si>
  <si>
    <t>Итого по разделу 2, в том числе:</t>
  </si>
  <si>
    <t>Раздел 3. Прочие мероприятия в сфере городского хозяйства</t>
  </si>
  <si>
    <t>3.1. Обеспечение доступности услуг бань в связи с регулированием органами местного самоуправления тарифов</t>
  </si>
  <si>
    <t>3.2. Организация пассажирских перевозок автомобильным транспортом общего пользования на отдельных социально-значимых маршрутах</t>
  </si>
  <si>
    <t>Итого по разделу 3, в том числе:</t>
  </si>
  <si>
    <t>Итого по программе, в том числе:</t>
  </si>
  <si>
    <t>Областной бюджет</t>
  </si>
  <si>
    <t xml:space="preserve">3.7. Ремонт и ревизия пожарных гидрантов </t>
  </si>
  <si>
    <t>3.8. Отвод дождевых вод у дома № 19 по ул. Архангельской</t>
  </si>
  <si>
    <t>1.6. Устройство ограничивающих пешеходных ограждений, в том числе:</t>
  </si>
  <si>
    <t>1.8. Содержание объектов дренажно-ливневой канализации</t>
  </si>
  <si>
    <t>1.9. Содержание светофорных объектов, в том числе:</t>
  </si>
  <si>
    <t>1.9.1. содержание объектов</t>
  </si>
  <si>
    <t>1.9.2. покупка электрической энергии</t>
  </si>
  <si>
    <t>1.9.3. передача электрической энергии</t>
  </si>
  <si>
    <t>1.10. Содержание объектов наружного освещения, в том числе:</t>
  </si>
  <si>
    <t>1.10.1. содержание объектов</t>
  </si>
  <si>
    <t>1.10.2. передача электрической энергии</t>
  </si>
  <si>
    <t>1.10.3. покупка электрической энергии</t>
  </si>
  <si>
    <t>2.6. Свод деревьев</t>
  </si>
  <si>
    <t xml:space="preserve">Областной бюджет (средства гранта) </t>
  </si>
  <si>
    <t>2.8. Замена светильников наружного освещения</t>
  </si>
  <si>
    <t>3.10. Осуществление регулярных перевозок автомобильным транспортом по регулируемым тарифам по муниципальным маршрутам регулярных перевозок, в том числе:</t>
  </si>
  <si>
    <t>3.11. Проведение технического обследования многоквартирного дома № 13 по ул. Матросова</t>
  </si>
  <si>
    <t>к постановлению администрации города</t>
  </si>
  <si>
    <t>1.1. Содержание и текущий ремонт автомобильных дорог общего пользования местного значения</t>
  </si>
  <si>
    <t>1.2.6. по ул. Кирова (от ул. Лермонтова до ул. Пушкина, от ул. Пушкина до МДОУ "Детский сад № 5 "Журавлик")</t>
  </si>
  <si>
    <t>1.11.2. по ул. Архангельской</t>
  </si>
  <si>
    <t>1.11. Установка стоек для дорожных знаков на автомобильных дорогах</t>
  </si>
  <si>
    <t>1.11.1. по ул. Кутузова</t>
  </si>
  <si>
    <t>Областной бюджет (средства гранта)</t>
  </si>
  <si>
    <t>1.3.3. у МОУ "СОШ № 6" с выездом на ул. Советскую</t>
  </si>
  <si>
    <t>1.6.9. возле регулируемого пешеходного перехода на перекрестке пр. Ленина - ул. Советская; на перекрестке ул. Кирова, ул. Театральная - напротив МДОУ № 17; по ул. Гоголя напротив МОУ "СОШ № 2"</t>
  </si>
  <si>
    <t>3.5. Проведение технического обследования многоквартирных домов № 9, 11, 15 по ул. Матросова</t>
  </si>
  <si>
    <t>3.9. Устройство системы водоотведения по ул. Никольской</t>
  </si>
  <si>
    <t>3.10.1. Осуществление регулярных перевозок автомобильным транспортом по регулируемому тарифу по муниципальному маршруту регулярных перевозок № 3 "Город Коряжма - станция Низовка"</t>
  </si>
  <si>
    <t>3.10.2. Осуществление регулярных перевозок автомобильным транспортом по регулируемому тарифу по муниципальным маршрутам регулярных перевозок № 4 "Город Коряжма - дачи "Строитель", 1-экспресс, 2-экспресс, 3-экспресс, 5, 6</t>
  </si>
  <si>
    <t>1.13. Разработка комплексной схемы организации дорожного движения на территории муниципального образования "Город Коряжма"</t>
  </si>
  <si>
    <t>2.9. Выкорчевка и перевозка пней</t>
  </si>
  <si>
    <t>2.7. Устройство контейнерной площадки между домами № 43А и 45Б по пр. Ленина с подъездом к ней</t>
  </si>
  <si>
    <t>1.14. Изготовление и установка информационных табличек вблизи наземных регулируемых и нерегулируемых пешеходных переходов</t>
  </si>
  <si>
    <t>2.10. Устройство клумбы на площади им. В. И. Ленина</t>
  </si>
  <si>
    <t>2.11. Восстановление линий освещения у дома № 14 по ул. имени Дыбцына</t>
  </si>
  <si>
    <t>2.12. Замена опоры наружного освещения по ул. имени Дыбцына напротив дома № 16</t>
  </si>
  <si>
    <t>2.13. Изготовление кронштейнов для установки дополнительных светильников у нерегулируемых пешеходных переходов напротив МОУ "СОШ № 3", МОУ "СОШ № 4"</t>
  </si>
  <si>
    <t>1.7.1. перекресток пр. Ленина - ул. Космонавтов</t>
  </si>
  <si>
    <t>1.7.2. перекресток пр. Ленина - ул. Советская</t>
  </si>
  <si>
    <t>1.7.3. перекресток пр. Ленина - ул. Пушкина</t>
  </si>
  <si>
    <t>1.7.5. перекресток ул. имени Дыбцына - ул. Складская - ул. Гаражная</t>
  </si>
  <si>
    <t>1.12. Устранение деформаций и повреждений (заделка выбоин) по ул. Архангельской, ул. Космонавтов, ул. Набережной им. Н. Островского, ул. Пушкина</t>
  </si>
  <si>
    <t>3.4. Содержание МКУ "Организатор перевозок"</t>
  </si>
  <si>
    <t>1.6.13. напротив МОУ "СОШ № 6"</t>
  </si>
  <si>
    <t>1.6.14. по ул. Кирова (на участке от 0 км + 624 м до 0 км + 368 м справа и слева)</t>
  </si>
  <si>
    <t>1.2.7. по пр. Ленина (от дома № 49 по пр. Ленина до ул. имени А. Г. Глейха)</t>
  </si>
  <si>
    <t>1.2.14. по ул. Советской (от ГАУЗ АО "Коряжемская стоматологическая поликлиника" до пр. Ленина)</t>
  </si>
  <si>
    <t>1.2.15. по ул. Архангельской</t>
  </si>
  <si>
    <t>1.2.8. по пр. Ленина (от площади им. В. И. Ленина до ул. Пушкина)</t>
  </si>
  <si>
    <t>1.3.5. к дворовой территории дома № 15Б по ул. Советской (от проезжей части ул. Советской)</t>
  </si>
  <si>
    <t>1.5.1. поднятие тротуара по нечетной стороне пр. Ленина на участке от перекрестка ул. Гоголя - пр. Ленина до пешеходного перехода у здания САФУ им. М. В. Ломоносова</t>
  </si>
  <si>
    <t>1.5.2. ремонт тротуара автомобильной дороги по ул. Набережной им. Н. Островского (напротив МОУ "СОШ № 1 г. Коряжмы" и дома № 20)</t>
  </si>
  <si>
    <t>1.6.10. на автомобильной дороге по ул. Набережной им Н. Островского (напротив МОУ "СОШ № 1 г. Коряжмы")</t>
  </si>
  <si>
    <t>1.6.8. на автомобильной дороге по ул. Строителей</t>
  </si>
  <si>
    <t>1.10.4. электроснабжение ул. Низовки</t>
  </si>
  <si>
    <t>1.15. Благоустройство площади им. В. И. Ленина. Ремонт дорожного покрытия, 2 этап</t>
  </si>
  <si>
    <t>1.16. Устройство парковки вдоль проезда со стороны главного входа в здание ГАУ АО "МФЦ"</t>
  </si>
  <si>
    <t>1.17. Устройство временной стоянки у городской поликлиники</t>
  </si>
  <si>
    <t>1.18. Оборудование светофора на перекрестке улиц Архангельская - Пушкина дополнительной секцией "Стрелка"</t>
  </si>
  <si>
    <t>2.14. Установка дополнительной опоры наружного освещения с двумя светильниками у перекрестка улиц имени Дыбцына - Лермонтова (у дома № 10 по ул. имени Дыбцына)</t>
  </si>
  <si>
    <t>2.15. Устройство праздничного освещения</t>
  </si>
  <si>
    <t>2.16. Ремонт ограждения спортивной площадки у д. № 45 по пр. Ленина</t>
  </si>
  <si>
    <t>2.17. Замена опоры в парке за зданием ФДОД "Дом детского творчества" МОУ "СОШ № 1"</t>
  </si>
  <si>
    <t>3.13. Приобретение уличных электронных часов для установки у д. № 25 по пр. Ленина</t>
  </si>
  <si>
    <t>2.19. Содержание контейнерных площадок</t>
  </si>
  <si>
    <t>МУП "Полигон"</t>
  </si>
  <si>
    <t>3.3. Обеспечение равной доступности услуг общественного транспорта для категорий граждан, установленных статьями 2 и 4 Федерального закона от 12.01.1995 № 5-ФЗ "О ветеранах"</t>
  </si>
  <si>
    <t>1.3.6. вдоль домов № 8, 6 по ул. имени Дыбцына до проезжей части ул. имени Дыбцына</t>
  </si>
  <si>
    <t>1.9.4. замена приборов учета электрической энергии</t>
  </si>
  <si>
    <t>1.9.5. энергоснабжение светофорного объекта на перекрестке ул. имени Дыбцына - ул. Складская - ул. Гаражная</t>
  </si>
  <si>
    <r>
      <t xml:space="preserve">1.6.11. </t>
    </r>
    <r>
      <rPr>
        <i/>
        <sz val="8"/>
        <rFont val="Times New Roman"/>
        <family val="1"/>
        <charset val="204"/>
      </rPr>
      <t>исключен постановлением администрации города от 09.07.2018 № 954</t>
    </r>
  </si>
  <si>
    <r>
      <t xml:space="preserve">1.6.12. </t>
    </r>
    <r>
      <rPr>
        <i/>
        <sz val="8"/>
        <rFont val="Times New Roman"/>
        <family val="1"/>
        <charset val="204"/>
      </rPr>
      <t>исключен постановлением администрации города от 09.07.2018 № 954</t>
    </r>
  </si>
  <si>
    <t>1.2.10. по ул. Пушкина (от пр. Ленина до ул. Архангельской)</t>
  </si>
  <si>
    <r>
      <t xml:space="preserve">1.2.11. </t>
    </r>
    <r>
      <rPr>
        <i/>
        <sz val="8"/>
        <rFont val="Times New Roman"/>
        <family val="1"/>
        <charset val="204"/>
      </rPr>
      <t>исключен постановлением администрации города от 11.04.2019 № 470</t>
    </r>
  </si>
  <si>
    <t>1.2. Ремонт автомобильных дорог общего пользования местного значения, в том числе:</t>
  </si>
  <si>
    <t>1.7. Установка светофоров с изменением фаз светофорного регулирования, модернизация светофорных объектов, в том числе:</t>
  </si>
  <si>
    <t>2.20. Восстановление наружного освещения у д. № 24 по ул. Гоголя</t>
  </si>
  <si>
    <r>
      <t xml:space="preserve">1.2.4. </t>
    </r>
    <r>
      <rPr>
        <i/>
        <sz val="8"/>
        <rFont val="Times New Roman"/>
        <family val="1"/>
        <charset val="204"/>
      </rPr>
      <t>исключен постановлением администрации города от 29.05.2019 № 724</t>
    </r>
  </si>
  <si>
    <t>2.21. Создание площадки накопления твердых коммунальных отходов (ул. Строителей)</t>
  </si>
  <si>
    <t>2.22. Создание площадки накопления твердых коммунальных отходов (ул. Чапаева)</t>
  </si>
  <si>
    <t>1.5.6. ремонт тротуара автомобильной дороги по ул. Архангельской (напротив городской поликлиники)</t>
  </si>
  <si>
    <t>1.10.5. замена трансформаторов тока в составе узлов учета</t>
  </si>
  <si>
    <t xml:space="preserve">областной бюджет </t>
  </si>
  <si>
    <t xml:space="preserve">местный бюджет </t>
  </si>
  <si>
    <t>Установка домовых знаков</t>
  </si>
  <si>
    <t>Приведение автомобильных дорог общего пользования местного значения в нормативное состояние</t>
  </si>
  <si>
    <t>Приведение тротуаров в нормативное состояние, устранение затоплений дождевыми и талыми водами</t>
  </si>
  <si>
    <t xml:space="preserve">Оборудование автомобильных дорог ограничивающими пешеходными ограждениями в соответствии с проектом организации дорожного движения
</t>
  </si>
  <si>
    <t>Поддержание бесперебойного функционирования объектов дренажно-ливневой канализации</t>
  </si>
  <si>
    <t>Поддержание бесперебойного функционирования светофорных объектов</t>
  </si>
  <si>
    <t>Поддержание бесперебойного функционирования объектов наружного освещения</t>
  </si>
  <si>
    <t>Обеспечение безопасности дорожного движения вблизи наземных регулируемых и нерегулируемых пешеходных переходов</t>
  </si>
  <si>
    <t>Комплексная схемы организации дорожного движения на территории муниципального образования "Город Коряжма"</t>
  </si>
  <si>
    <t>Приведение дорожного покрытия площади им. В. И. Ленина в нормативное состояние</t>
  </si>
  <si>
    <t>Увеличение пропускной способности автомобильной дороги</t>
  </si>
  <si>
    <t>Развитие улично-дорожной сети, создание парковочных мест</t>
  </si>
  <si>
    <t>Поддержание объектов озеленения в надлежащем состоянии</t>
  </si>
  <si>
    <t>Благоустройство места массового отдыха граждан у водного объекта</t>
  </si>
  <si>
    <t>Обеспечение функционирования фонтанов</t>
  </si>
  <si>
    <t>Восстановление кедровой рощи (отпугивание грызунов)</t>
  </si>
  <si>
    <t>Модернизация автопарка, механизация ручного труда</t>
  </si>
  <si>
    <t>Замена светильников наружного освещения на энергоэффективные</t>
  </si>
  <si>
    <t>Создание места накопления ТКО</t>
  </si>
  <si>
    <t>Благоустройство территории</t>
  </si>
  <si>
    <t>Восстановление объектов наружного освещения</t>
  </si>
  <si>
    <t>Обеспечение безопасности дорожного движения у нерегулируемых пешеходных переходов напротив МОУ "СОШ № 3", МОУ "СОШ № 4"</t>
  </si>
  <si>
    <t>Обеспечение безопасности дорожного движения у перекрестка улиц имени Дыбцына - Лермонтова (у дома № 10 по ул. имени Дыбцына)</t>
  </si>
  <si>
    <t>Создание мест накопления ТКО</t>
  </si>
  <si>
    <t>Поддержание в надлежащем состоянии мест накопления ТКО</t>
  </si>
  <si>
    <t>2.23. Установка опор наружного освещения у пешеходного перехода через улицу Архангельскую со стороны здания № 14 по ул. Архангельской</t>
  </si>
  <si>
    <t>2.24. Установка опор наружного освещения у пешеходного перехода со стороны дома № 14 по ул. Советской</t>
  </si>
  <si>
    <t>2.25. Обустройстиво дополнительного освещения по ул. Пушкина у дома № 4 и дома № 6</t>
  </si>
  <si>
    <t>Обеспечение нормативного уровня освещенности территории</t>
  </si>
  <si>
    <t>1.11.3. по ул. Дыбцына, по ул. Кутузова</t>
  </si>
  <si>
    <t>3.19. Устройство системы видеонаблюдения у обелиска Славы</t>
  </si>
  <si>
    <t>3.6. Установка домовых знаков на многоквартирные дома (16 шт.)</t>
  </si>
  <si>
    <t>2.29. Изготовление баннеров для установки в скамьи "Книги" в Ломоносовском парке</t>
  </si>
  <si>
    <t>2.26. Установка светильников наружного освещения от д. 12 по ул. Архангельской до д. 54 по ул. Свердлова (капитальный ремонт)</t>
  </si>
  <si>
    <t>«Город Коряжма» на 2018-2025 годы»</t>
  </si>
  <si>
    <t>2.34. Восстановление наружного освещения на объекте проезд между зданием ГУП АО "Фармация" ул.Советская д.8 и домом № 5 "В" по проспекту Ломоносова</t>
  </si>
  <si>
    <t>1.9.6. приобретение контроллера дорожного КС на светофорном объекте перекресток улица им.Дыбцына и ул.Лермонтова</t>
  </si>
  <si>
    <t>2.30. Поставка контейнеров для накопления ТКО</t>
  </si>
  <si>
    <r>
      <t xml:space="preserve">1.2.16. </t>
    </r>
    <r>
      <rPr>
        <i/>
        <sz val="8"/>
        <rFont val="Times New Roman"/>
        <family val="1"/>
        <charset val="204"/>
      </rPr>
      <t>исключен постановлением администрации города от 04.02.2020 № 120</t>
    </r>
  </si>
  <si>
    <t>1.5.7. ремонт тротуара по ул. Кутузова (нечётная сторона) от площади им. В. И. Ленина до ул. Лермонтова (чётная сторона)</t>
  </si>
  <si>
    <t>1.5.8. устройство тротуара по ул. Архангельской от ул. Спасской до здания ГИБДД</t>
  </si>
  <si>
    <t>1.5.9. ремонт тротуара по ул. Театральной (нечетная сторона от площади им. В. И. Ленина до ул. Набережной им. Н. Островского)</t>
  </si>
  <si>
    <t>1.5.10. устройство тротуара в асфальтобетонном исполнении на перекрестке пр. Ленина - ул. Советская</t>
  </si>
  <si>
    <t>1.5.11. поднятие тротуара по четной стороне пр. им. М. В. Ломоносова от дома № 14 до проезжей части ул. Архангельской, устройство тротуара по нечетной стороне пр. имени М. В. Ломоносова от тротуара по ул. Архангельской до пешеходного перехода</t>
  </si>
  <si>
    <t>1.2.9. по ул. Набережной им. Н. Островского</t>
  </si>
  <si>
    <t>1.5.12. ремонт тротуара автомобильной дороги по пр. Ленина (нечетная сторона напротив МОУ "СОШ № 4")</t>
  </si>
  <si>
    <t>1.5.13. устройство тротуара по ул. Кирова (четная сторона от проезда напротив д. № 29 по ул. Кирова до входа в МДОУ "Детский сад № 5 "Журавлик")</t>
  </si>
  <si>
    <t>2.36. Обустройство освещения у Аллеи Ветеранов, пограничного столба, памятника войнам морякам и морским пехотинцам</t>
  </si>
  <si>
    <t>2.37. Восстановление наружного освещения по ул. Архангельская у здания № 52</t>
  </si>
  <si>
    <t>2.38. Восстановление наружного освещения ул. Лермонтова (напротив склада медикаментов)</t>
  </si>
  <si>
    <t>Оборудование площадок накопления ТКО контейнерами</t>
  </si>
  <si>
    <t>2.31. Создание площадки накопления твердых коммунальных отходов (ул. Низовка)</t>
  </si>
  <si>
    <r>
      <t xml:space="preserve">3.17. </t>
    </r>
    <r>
      <rPr>
        <b/>
        <i/>
        <sz val="8"/>
        <rFont val="Times New Roman"/>
        <family val="1"/>
        <charset val="204"/>
      </rPr>
      <t>исключен постановлением администрации города от 25.02.2020 № 189</t>
    </r>
  </si>
  <si>
    <t>Отвод дождевых вод с проезжей части и тротуаров дворовой территории дома № 19 по ул. Архангельской</t>
  </si>
  <si>
    <r>
      <t xml:space="preserve">1.4. </t>
    </r>
    <r>
      <rPr>
        <b/>
        <i/>
        <sz val="8"/>
        <rFont val="Times New Roman"/>
        <family val="1"/>
        <charset val="204"/>
      </rPr>
      <t>исключен постановлением администрации города от 10.04.2020 № 401</t>
    </r>
  </si>
  <si>
    <r>
      <t xml:space="preserve">1.5.3. </t>
    </r>
    <r>
      <rPr>
        <i/>
        <sz val="8"/>
        <rFont val="Times New Roman"/>
        <family val="1"/>
        <charset val="204"/>
      </rPr>
      <t>исключен постановлением администрации города от 10.04.2020 № 401</t>
    </r>
  </si>
  <si>
    <r>
      <t xml:space="preserve">1.5.4. </t>
    </r>
    <r>
      <rPr>
        <i/>
        <sz val="8"/>
        <rFont val="Times New Roman"/>
        <family val="1"/>
        <charset val="204"/>
      </rPr>
      <t>исключен постановлением администрации города от 10.04.2020 № 401</t>
    </r>
  </si>
  <si>
    <r>
      <t xml:space="preserve">1.5.5. </t>
    </r>
    <r>
      <rPr>
        <i/>
        <sz val="8"/>
        <rFont val="Times New Roman"/>
        <family val="1"/>
        <charset val="204"/>
      </rPr>
      <t>исключен постановлением администрации города от 10.04.2020 № 401</t>
    </r>
  </si>
  <si>
    <r>
      <t xml:space="preserve">1.6.15. </t>
    </r>
    <r>
      <rPr>
        <i/>
        <sz val="8"/>
        <rFont val="Times New Roman"/>
        <family val="1"/>
        <charset val="204"/>
      </rPr>
      <t>исключен постановлением администрации города от 10.04.2020 № 401</t>
    </r>
  </si>
  <si>
    <r>
      <t xml:space="preserve">2.18. </t>
    </r>
    <r>
      <rPr>
        <b/>
        <i/>
        <sz val="8"/>
        <rFont val="Times New Roman"/>
        <family val="1"/>
        <charset val="204"/>
      </rPr>
      <t>исключен постановлением администрации города от 10.04.2020 № 401</t>
    </r>
  </si>
  <si>
    <t>3.22. Баннеры (4 шт.)</t>
  </si>
  <si>
    <t>3.23. Поставка станции часовой ЕВ-ПИК 2000 УС-2 с GPS-коррекцией</t>
  </si>
  <si>
    <t>2.39. Праздничное оформление к 9 мая, в т. ч.:</t>
  </si>
  <si>
    <t>2.39.1. поставка консолей</t>
  </si>
  <si>
    <t>3.20. Приобретение флагов уличных двусторонних, баннеров</t>
  </si>
  <si>
    <t>2.39.2. устройство клумб у Обелиска Славы</t>
  </si>
  <si>
    <r>
      <t xml:space="preserve">2.15.3. </t>
    </r>
    <r>
      <rPr>
        <i/>
        <sz val="8"/>
        <rFont val="Times New Roman"/>
        <family val="1"/>
        <charset val="204"/>
      </rPr>
      <t>исключен постановлением администрации города от 10.04.2020 № 401</t>
    </r>
  </si>
  <si>
    <t>Ремонт часов у д. № 1 по пр. Ленина</t>
  </si>
  <si>
    <t>Снижение потребления электрической энергии на цели наружного освещения</t>
  </si>
  <si>
    <t>3.24. Демонтаж металлических гаражей, расположенных за СК "Олимп" и гаража во дворе по ул. Космонавтов, д. 10А</t>
  </si>
  <si>
    <t>1.10.6. передача электрической энергии (Ломоносовский парк)</t>
  </si>
  <si>
    <t>1.10.7. покупка электрической энергии (Ломоносовский парк)</t>
  </si>
  <si>
    <t>1.10.8. выполнение энергоэффективных мероприятий, направленных на энергосбережение и повышение энергетической эффективности использования электрической энергии для целей наружного освещения на территории муниципального образования "Город Коряжма"</t>
  </si>
  <si>
    <t>1.10.9. содержание системы автоматизированного учета электрической энергии по объектам наружного освещения</t>
  </si>
  <si>
    <t>Обеспечение почасового учета электрической энергии на цели наружного освещения для расчетов по двуставочному тарифу</t>
  </si>
  <si>
    <t>3.25. Восстановительные работы и установка мемориальных знаков на воинских захоронениях</t>
  </si>
  <si>
    <t>Благоустройство воинских захоронений</t>
  </si>
  <si>
    <t>1.19.7. автомобильная дорога по ул. Набережная им. Н. Островского</t>
  </si>
  <si>
    <r>
      <t>1.19.5.</t>
    </r>
    <r>
      <rPr>
        <b/>
        <sz val="8"/>
        <rFont val="Times New Roman"/>
        <family val="1"/>
        <charset val="204"/>
      </rPr>
      <t xml:space="preserve"> </t>
    </r>
    <r>
      <rPr>
        <b/>
        <i/>
        <sz val="8"/>
        <rFont val="Times New Roman"/>
        <family val="1"/>
        <charset val="204"/>
      </rPr>
      <t>исключен постановлением администрации города от 03.08.2020 № 810</t>
    </r>
  </si>
  <si>
    <r>
      <t xml:space="preserve">1.19.6. </t>
    </r>
    <r>
      <rPr>
        <b/>
        <i/>
        <sz val="8"/>
        <rFont val="Times New Roman"/>
        <family val="1"/>
        <charset val="204"/>
      </rPr>
      <t>исключен постановлением администрации города от 03.08.2020 № 810</t>
    </r>
  </si>
  <si>
    <t>1.19. Модернизация нерегулируемых пешеходных переходов</t>
  </si>
  <si>
    <t>3.25.1. Проведение восстановительных работ на воинских захоронениях</t>
  </si>
  <si>
    <t>3.25.2. Установка мемориальных знаков на воинских захоронениях</t>
  </si>
  <si>
    <t>Повышение безопасности дорожного движения на нерегулируемых пешеходных переходах вблизи образовательных учреждений</t>
  </si>
  <si>
    <r>
      <t xml:space="preserve">3.26. </t>
    </r>
    <r>
      <rPr>
        <i/>
        <sz val="8"/>
        <rFont val="Times New Roman"/>
        <family val="1"/>
        <charset val="204"/>
      </rPr>
      <t>исключен постановлением администрации города от 03.08.2020 № 810</t>
    </r>
  </si>
  <si>
    <t>3.27. Разработка рабочей документации "Устройство системы видеонаблюдения на площадке для проведения массовых мероприятий по ул. Набережной им. Н. Островского"</t>
  </si>
  <si>
    <t>3.29. Установка термошкафа для обеспечения функционирования системы видеонаблюдения в условиях низких температур у Обелиска Славы</t>
  </si>
  <si>
    <r>
      <t>3.30.</t>
    </r>
    <r>
      <rPr>
        <i/>
        <sz val="8"/>
        <rFont val="Times New Roman"/>
        <family val="1"/>
        <charset val="204"/>
      </rPr>
      <t xml:space="preserve"> </t>
    </r>
    <r>
      <rPr>
        <b/>
        <sz val="8"/>
        <rFont val="Times New Roman"/>
        <family val="1"/>
        <charset val="204"/>
      </rPr>
      <t>Приобретение лицензии на использование програмного обеспечения"autoSchema2019Pro"</t>
    </r>
  </si>
  <si>
    <t>Рабочая документация "Устройство системы видеонаблюдения на площадке для проведения массовых мероприятий по ул. Набережной им. Н. Островского"</t>
  </si>
  <si>
    <t>Обеспечение функционирования системы видеонаблюдения у Обелиска Славы в условиях низких температур</t>
  </si>
  <si>
    <t>Программное обеспечение, предназначенное для выдачи разрешений и согласований проезда тяжеловесного и крупногабаритного транспорта</t>
  </si>
  <si>
    <t>федеральный бюджет</t>
  </si>
  <si>
    <t>Приложение</t>
  </si>
  <si>
    <t>Обеспечение безопасности, сохранности объектов благоустройства</t>
  </si>
  <si>
    <t>3.18. Содержание систем видеонаблюдения в Ломоносовском парке, Александровском парке, у Обелиска Славы, в том числе:</t>
  </si>
  <si>
    <t>3.18.1. содержание систем</t>
  </si>
  <si>
    <t>2.40. Замена опоры воздушной линии электропередач наружного освещения в результате ДТП 25.10.2020 по адресу: г. Коряжма, Магистральное шоссе, 21</t>
  </si>
  <si>
    <t>Реализация функции управления и регулирования в сфере транспорта</t>
  </si>
  <si>
    <t>1.20. Установка информационных световых секций для предупреждения водителей о возможном движении пешеходов по пешеходным переходам на перекрестках ул. имени Дыбцына - ул. Гаражная - ул. Складская, ул. имени Дыбцына - ул. Лермонтова</t>
  </si>
  <si>
    <t>Приведение светофорных объектов в соответствие с требованиями ГОСТ Р 52289-2019</t>
  </si>
  <si>
    <t>1.21. Устройство парковки на автомобильной дороге по ул. Набережной им. Н. Островского напротив Обелиска Славы</t>
  </si>
  <si>
    <t>Техническое заключение о состоянии строительных конструкций многоквартирного дома</t>
  </si>
  <si>
    <t>3.31. Актуализация схемы теплоснабжения</t>
  </si>
  <si>
    <t>Актуализированная схема теплоснабжения городского округа Архангельской области "Город Коряжма"</t>
  </si>
  <si>
    <t>Обеспечение функционирования общего и душевого отделений бань</t>
  </si>
  <si>
    <t>МУП "Благоустройство"</t>
  </si>
  <si>
    <t>2.27. Устройство покрытия из щебня между проездом МДОУ № 2 и тротуаром у дома № 8 по ул. Советская</t>
  </si>
  <si>
    <t>2.28. Ремонт опор в Ломоносовском парке</t>
  </si>
  <si>
    <t>2.32. Восстановление наружного освещения у дома № 38 по ул. Набережная им. Н. Островского</t>
  </si>
  <si>
    <t>МУП "ПУ ЖКХ"</t>
  </si>
  <si>
    <t>Ликвидация аварийных деревьев на территории городского округа Архангельской области "Город Коряжма"</t>
  </si>
  <si>
    <t>2.41. Обустройство наружного освещения от МДОУ "Детский сад № 18 "Сказка" до дома № 16Б по ул. имени А. Г. Глейха</t>
  </si>
  <si>
    <t>2.42. Обустройство наружного освещения в районе контейнерной площадки между ГАУЗ АО "Коряжемская стомоталогическая поликлиника" и домом № 45Б по пр. Ленина</t>
  </si>
  <si>
    <t>2.43. Обустройство наружного освещения у пешеходного перехода через пр. Ленина напротив дома № 2 по пр. Ленина</t>
  </si>
  <si>
    <t>3.15. Отвод дождевых стоков (перекресток со стороны дома № 6 по ул. Кутузова и дома № 7 по ул. Лермонтова)</t>
  </si>
  <si>
    <t>3.33. Обустройство водоотводной канавы вдоль стадиона МОУ "СОШ № 7"</t>
  </si>
  <si>
    <t>Поддержание пожарных гидрантов в надлежащем состоянии</t>
  </si>
  <si>
    <t>Технические заключения о состоянии строительных конструкций многоквартирных домов</t>
  </si>
  <si>
    <t>Устройство системы водоотведения</t>
  </si>
  <si>
    <t>Осуществление регулярных перевозок автомобильным транспортом по регулируемым тарифам по муниципальным маршрутам регулярных перевозок</t>
  </si>
  <si>
    <t>Экспертиза (проверка достоверности) сметной документации</t>
  </si>
  <si>
    <t>3.21. Содержание обелиска Славы по ул. Набережная им. Н. Островского</t>
  </si>
  <si>
    <t>Восстановление здания</t>
  </si>
  <si>
    <t>3.34. Устройство канавы вдоль ул. Лесной</t>
  </si>
  <si>
    <t>3.35. Снос деревянных построек</t>
  </si>
  <si>
    <t>Содержание Обелиска Славы в надлежащем состоянии, обеспечение бесперебойного функционирования вечного огня</t>
  </si>
  <si>
    <t>Поддержание бесперебойного движения транспортных средств по автомобильным дорогам общего пользования местного значения и обеспечение безопасных условий движения</t>
  </si>
  <si>
    <t>Приведение проездов в нормативное состояние</t>
  </si>
  <si>
    <t>1.5. Ремонт, устройство, поднятие тротуаров, в том числе:</t>
  </si>
  <si>
    <t>2.33. Обустройство дополнительного освещения на объекте район пешеходного перехода через ул. Набережная им. Н. Островского напротив дома № 2 по ул. Гоголя</t>
  </si>
  <si>
    <t>Обеспечение безопасности дорожного движения у пешеходного перехода напротив дома № 2 по ул. Гоголя</t>
  </si>
  <si>
    <t>Обеспечение безопасности дорожного движения у пешеходного перехода напротив дома № 2 по пр. Ленина</t>
  </si>
  <si>
    <t>Организация пассажирских перевозок автомобильным транспортом общего пользования на отдельных социально-значимых маршрутах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</si>
  <si>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12.01.1995 № 5-ФЗ "О ветеранах"</t>
  </si>
  <si>
    <t>2.5.11. навесное оборудование на трактор (погрузчик фронтальный)</t>
  </si>
  <si>
    <t>2.5.11. навесное оборудование на трактор (щетка зимне-летняя с поливом)</t>
  </si>
  <si>
    <t>2.5.12. навесное оборудование на трактор (косилка)</t>
  </si>
  <si>
    <t>1.5.14. ремонт тротуара автомобильной дороги по ул. Пушкина от дома № 3 до въезда на территорию ТЦ "Виконда"</t>
  </si>
  <si>
    <t>1.5.15. устройство тротуара от существующего асфальтобетонного покрытия д. № 46 по ул. Набережной им. Н. Островского до угла ограждения МОУ "СОШ № 4"</t>
  </si>
  <si>
    <t>1.5.16. устройство тротуара вдоль ограждения МОУ "СОШ № 4"</t>
  </si>
  <si>
    <t>1.3.1. у здания № 14 по ул. Архангельской</t>
  </si>
  <si>
    <t>3.32. Ремонт здания участка озеленения по ул. Лермонтова, д. 18</t>
  </si>
  <si>
    <t>2.5. Приобретение оборудования для содержания улично-дорожной сети и объектов благоустройства, в том числе:</t>
  </si>
  <si>
    <t>1.19.1. автомобильная дорога по пр. Ленина (напротив МОУ СОШ № 3)</t>
  </si>
  <si>
    <t>1.19.2. автомобильная дорога по пр. Ленина (напротив МОУ СОШ № 4)</t>
  </si>
  <si>
    <t>1.19.3. автомобильная дорога по пр. Ленина (напротив МОУ СОШ № 7)</t>
  </si>
  <si>
    <t>1.19.4. автомобильная дорога по ул. Кирова (напротив МОУ "СОШ № 2")</t>
  </si>
  <si>
    <t>1.19.8. подключение светофоров и дорожных знаков с внутренним освещением на пешеходном переходе по ул. Кирова напротив МОУ "СОШ № 2" к электрическим сетям</t>
  </si>
  <si>
    <t>3.18.3. покупка электрической энергии для обеспечения функционирования системы видеонаблюдения по пр.им.М.В.Ломоносова в Александровском парке,у Обелиска Славы</t>
  </si>
  <si>
    <t>3.18.2. передача электрической энергии для обеспечения функционирования системы видеонаблюдения по пр.им.М.В.Ломоносова в Александровском парке,у Обелиска Славы</t>
  </si>
  <si>
    <t>3.28. Демонтаж контейнерной площадки у здания ГИБДД</t>
  </si>
  <si>
    <t>Повышение безопасности дорожного движения на светофорных объектах</t>
  </si>
  <si>
    <t>2.5.10. снегоуборщик бензиновый самоходный (2 шт.), мотоблок с навесным оборудованием (1 шт.)</t>
  </si>
  <si>
    <r>
      <t xml:space="preserve">1.2.2. </t>
    </r>
    <r>
      <rPr>
        <i/>
        <sz val="8"/>
        <rFont val="Times New Roman"/>
        <family val="1"/>
        <charset val="204"/>
      </rPr>
      <t>исключен постановлением администрации города от 16.03.2021 № 251</t>
    </r>
  </si>
  <si>
    <r>
      <t xml:space="preserve">1.2.2. </t>
    </r>
    <r>
      <rPr>
        <i/>
        <sz val="8"/>
        <rFont val="Times New Roman"/>
        <family val="1"/>
        <charset val="204"/>
      </rPr>
      <t>исключен постановлением администрации города от 16.03.2021 № 252</t>
    </r>
    <r>
      <rPr>
        <sz val="11"/>
        <color theme="1"/>
        <rFont val="Calibri"/>
        <family val="2"/>
        <charset val="204"/>
        <scheme val="minor"/>
      </rPr>
      <t/>
    </r>
  </si>
  <si>
    <t>2.44. Планировка территории по ул. Архангельской напротив здания городской поликлиники</t>
  </si>
  <si>
    <t>1.2.1. по ул. Лермонтова</t>
  </si>
  <si>
    <t>1.2.12. по ул. Пушкина</t>
  </si>
  <si>
    <t xml:space="preserve">1.19.9. автомобильная дорога по пр. Ленина напротив ГБОУ АО "Коряжемский детский дом-школа" </t>
  </si>
  <si>
    <t xml:space="preserve">1.19.10. автомобильная дорога по ул. Кирова напротив МДОУ "Детский сад № 17 "Аленький цветочек" (ул. Кирова, д. 4) </t>
  </si>
  <si>
    <t xml:space="preserve">1.19.11. автомобильная дорога по ул. Набережной им. Н. Островского в районе ФДОД "ДДТ" МОУ "СОШ № 1 г. Коряжмы" </t>
  </si>
  <si>
    <t xml:space="preserve">1.7.4. перекресток ул. имени Дыбцына - ул. Лермонтова </t>
  </si>
  <si>
    <t>1.2.13. по ул. Космонавтов</t>
  </si>
  <si>
    <t>2.5.14. пила бензиновая (1 шт.)</t>
  </si>
  <si>
    <t>3.12. Изготовление и поставка защищенной полиграфической продукции</t>
  </si>
  <si>
    <t>Изготовление и поставка защищенной полиграфической продукции уровня "В" "Карта маршрута регулярных перевозок",  "Специальное разрешение на движение по автомобильным дорогам тяжеловесного и (или) крупногабаритного транспортного средства", "Свидетельство об осуществлении перевозок по маршруту регулярных перевозок"</t>
  </si>
  <si>
    <t xml:space="preserve">2.5.1. автогрейдер </t>
  </si>
  <si>
    <t>3.16. Приобретение урн для установки на улицах города</t>
  </si>
  <si>
    <t>МУП "Горсвет"</t>
  </si>
  <si>
    <t>3.37. Косметический ремонт трансформаторной подстанции в сквере по ул. Театральной за зданием МУ "ККДЦ"</t>
  </si>
  <si>
    <t>3.36. Замена баннеров для скамеек в парке Ломоносовский</t>
  </si>
  <si>
    <t>1.3.7. Ремонт дорожного покрытия проезда за МУ "ККДЦ"</t>
  </si>
  <si>
    <t>1.2.17. по ул. Советской</t>
  </si>
  <si>
    <t>1.22. Установка дорожных знаков 5.15.1 "Направление движения по полосам" на автомобильной дороге по пр. им. М. В. Ломоносова</t>
  </si>
  <si>
    <t>Установка дорожных знаков в соответствии с проектом организации дорожного движения</t>
  </si>
  <si>
    <t>1.23. Восстановление наружного освещения и светофорного объекта на перекрестке ул. Архангельская - ул. имени А. Г. Глейха</t>
  </si>
  <si>
    <t>1.9.7. приобретение контроллера дорожного КС3-2408/24</t>
  </si>
  <si>
    <t>2.47. Установка дополнительной опоры наружного освещения на дворовой территории д. № 25 по ул. Архангельской у детского игрового городка</t>
  </si>
  <si>
    <t>2.48. Восстановление наклоненных опор наружного освещения</t>
  </si>
  <si>
    <t>Оборудование автомобильных дорог техническими средствами в соответствии с проектом организации дорожного движения</t>
  </si>
  <si>
    <t>Восстановление объектов наружного освещения и светофорного объекта</t>
  </si>
  <si>
    <t>Обеспечение безопасности дорожного движения у пешеходного перехода через улицу Архангельскую со стороны здания № 14 по ул. Архангельской</t>
  </si>
  <si>
    <t>Обеспечение безопасности дорожного движения у пешеходного перехода со стороны дома № 14 по ул. Советской</t>
  </si>
  <si>
    <t>1.3.8. Ремонт дорожного покрытия въезда между д. № 12 по ул. Пушкина и МДОУ № 10</t>
  </si>
  <si>
    <t>1.5.17. ремонт тротуара автомобильной дороги по ул. Кирова (от торца дома № 13 по ул. Пушкина до автомобильной дороги по ул. Пушкина)</t>
  </si>
  <si>
    <t>1.5.18. ремонт тротуара автомобильной дороги по пр. Ленина (от дома № 21 до въезда на территорию ТЦ "Виконда")</t>
  </si>
  <si>
    <t>2.46. Устройство дополнительного освещения у д. № 78 и 78А корп. 1 по ул. Набережной им. Н. Островского</t>
  </si>
  <si>
    <t>2.49. Замена опоры наружного освещения в районе здания № 10 по ул. Советской</t>
  </si>
  <si>
    <t>2.50. Планировка территории Набережной р. Бол. Коряжемка от храма в сторону ул. Советской</t>
  </si>
  <si>
    <t>2.51. Свод аварийных деревьев на территории старого Коряжемского городского кладбища</t>
  </si>
  <si>
    <t>2.52. Уборка строительного мусора по ул. Матросова</t>
  </si>
  <si>
    <t>3.38. Доставка оборудования для содержания улично-дорожной сети и объектов благоустройства</t>
  </si>
  <si>
    <t>2.5.15. многофункциональная машина для прочистки канализации (1 шт.)</t>
  </si>
  <si>
    <t>2.5.16. измельчитель веток (1 шт.)</t>
  </si>
  <si>
    <t>2.45. Замена опоры наружного освещения по адресу ул. Набережная им. Н. островского д. 30</t>
  </si>
  <si>
    <t>Доставка оборудования</t>
  </si>
  <si>
    <t>1.19.12. автомобильная дорога по ул. Космонавтов напротив МБУ ДО "Коряжемская ДШИ"</t>
  </si>
  <si>
    <t>1.5.19. Устройство тротуара вдоль автомобильной дороги "Проезд от пр. Ленина до ул. Архангельской в районе МОУ "СОШ № 6" на участке от въезда на дворовую территорию д. № 7 по ул. Советской до МОУ "СОШ № 6"</t>
  </si>
  <si>
    <t>1.24. Разработка проекта организации дорожного движения на автомобильных дорогах общего пользования местного значения городского округа Архангельской области "Город Коряжма"</t>
  </si>
  <si>
    <t>1.25. Разработка технических паспортов автомобильных дорог общего пользования местного значения городского округа Архангельской области "Город Коряжма"</t>
  </si>
  <si>
    <t>1.26. Оценка технического состояния автомобильных дорог общего пользования местного значения городского округа Архангельской области "Город Коряжма"</t>
  </si>
  <si>
    <t>3.39. Обследование кирпичной кладки и кровли здания бани, расположенной по адресу: Архангельская обл., г. Коряжма, ул. имени Дыбцына, д. 3А, с целью установления технического состояния необходимости ремонтных работ и их перечня</t>
  </si>
  <si>
    <t>3.14. Экспертиза (проверка достоверности) сметной документации</t>
  </si>
  <si>
    <t>2.53. Обустройство освещения проезжей части дороги по пр. Ленина, ведущей от перекрёстка с ул. Глейха к границе с Котласским районом</t>
  </si>
  <si>
    <t>2.54. Уничтожение борщевика Сосновского на территории городского округа Архангельской области "Город Коряжма"</t>
  </si>
  <si>
    <t>1.19.14. автомобильная дорога "Проезд от пр. Ленина до ул. Архангельской в районе МОУ "СОШ № 6" напротив МДОУ "Детский сад № 18 "Сказка"</t>
  </si>
  <si>
    <t>1.19.15. автомобильная дорога "Проезд от торгового центра "Парма" до пр. им. М. В. Ломоносова" напротив МДОУ "Детский сад комбинированного вида № 2 "Парусок"</t>
  </si>
  <si>
    <t>1.19.13. автомобильная дорога "Проезд от пр. Ленина до ул. Архангельской в районе МОУ "СОШ № 6" напротив МОУ "СОШ № 6"</t>
  </si>
  <si>
    <t>1.6.5. по пр. имени М. В. Ломоносова (нечетная сторона аллеи)</t>
  </si>
  <si>
    <t>1.6.6. по пр. имени М. В. Ломоносова (четная сторона аллеи)</t>
  </si>
  <si>
    <t>1.6.7. по ул. Архангельской (напротив здания поликлиники ГБУЗ АО "Коряжемская городская больница")</t>
  </si>
  <si>
    <t>1.6.4. ул. имени Дыбцына (на перекрестке с ул. Лермонтова)</t>
  </si>
  <si>
    <t>1.6.3. по ул. Кутузова (на перекрестке с ул. Лермонтова)</t>
  </si>
  <si>
    <t>1.6.2. по ул. Лермонтова (на перекрестке с ул. имени Дыбцына)</t>
  </si>
  <si>
    <t>1.6.1. по ул. Лермонтова (на перекрестке с ул. Кутузова)</t>
  </si>
  <si>
    <t>1.7.6. перекресток ул. Архангельская - ул. Советская</t>
  </si>
  <si>
    <t>1.7.7. перекресток ул. Архангельская - ул. Пушкина</t>
  </si>
  <si>
    <t>Проект организации дорожного движения на автомобильных дорогах общего пользования местного значения городского округа Архангельской области "Город Коряжма"</t>
  </si>
  <si>
    <t>Технические паспорта автомобильных дорог общего пользования местного значения городского округа Архангельской области "Город Коряжма"</t>
  </si>
  <si>
    <t>Заключения о техническом состоянии автомобильных дорог общего пользования местного значения городского округа Архангельской области "Город Коряжма"</t>
  </si>
  <si>
    <t>Заключение о техническом состоянии кирпичной кладки и кровли здания бани, необходимости ремонтных работ и их перечня</t>
  </si>
  <si>
    <r>
      <t>"Развитие городского хозяйства</t>
    </r>
    <r>
      <rPr>
        <b/>
        <sz val="8"/>
        <rFont val="Times New Roman"/>
        <family val="1"/>
        <charset val="204"/>
      </rPr>
      <t xml:space="preserve"> </t>
    </r>
  </si>
  <si>
    <t>"Город Коряжма" на 2018-2025 годы"</t>
  </si>
  <si>
    <t>3.40. Устройство водоотводной канавы по ул. Куйбышева (от перекрестка с ул. Строителей в сторону ул. Чапаева)</t>
  </si>
  <si>
    <t>2.15.1. на пр. Ленина (поставка праздничных световых изделий)</t>
  </si>
  <si>
    <t>2.15.2. на пр. Ленина (монтаж воздушной линии электропередач, праздничных консолей, перетяжек)</t>
  </si>
  <si>
    <t>2.55. Обустройство наружного освещения в районе контейнерной площадки между МДОУ "Детский сад № 18 "Сказка" и МОУ "СОШ № 6"</t>
  </si>
  <si>
    <t>от 24.12.2021 № 1630</t>
  </si>
  <si>
    <t>2.35.1. по ул. Дзержинского</t>
  </si>
  <si>
    <t>2.35. Установка дополнительных светильников в микрорайоне "Заречье", в т. ч.</t>
  </si>
  <si>
    <t>2.35.2. по ул. Строителей, Калинина, Чапаева, Дзержинского (у д. № 47)</t>
  </si>
  <si>
    <t>2.5.13. триммеры бензиновые (6 шт.)</t>
  </si>
  <si>
    <t>61 213,0</t>
  </si>
  <si>
    <t>63 616,0</t>
  </si>
  <si>
    <t xml:space="preserve">68 715,42974
</t>
  </si>
  <si>
    <t xml:space="preserve">47 177,75130
</t>
  </si>
  <si>
    <t xml:space="preserve">46 769,58764
</t>
  </si>
  <si>
    <t xml:space="preserve">96 743,04190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</si>
</sst>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1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 Cyr"/>
      <charset val="204"/>
    </font>
    <font>
      <sz val="6"/>
      <name val="Arial Cyr"/>
      <charset val="204"/>
    </font>
    <font>
      <sz val="14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0"/>
      <name val="Arial Cyr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Font="1" applyFill="1"/>
    <xf numFmtId="0" fontId="2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8" fillId="0" borderId="0" xfId="0" applyFont="1" applyFill="1"/>
    <xf numFmtId="164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" fontId="5" fillId="0" borderId="1" xfId="0" applyNumberFormat="1" applyFont="1" applyFill="1" applyBorder="1" applyAlignment="1">
      <alignment horizontal="left" vertical="center" wrapText="1"/>
    </xf>
    <xf numFmtId="0" fontId="5" fillId="0" borderId="0" xfId="0" applyFont="1" applyFill="1"/>
    <xf numFmtId="164" fontId="5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right"/>
    </xf>
    <xf numFmtId="0" fontId="9" fillId="0" borderId="0" xfId="0" applyFont="1" applyFill="1" applyAlignment="1"/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16" fontId="6" fillId="0" borderId="1" xfId="0" applyNumberFormat="1" applyFont="1" applyFill="1" applyBorder="1" applyAlignment="1">
      <alignment horizontal="left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16" fontId="6" fillId="0" borderId="1" xfId="0" applyNumberFormat="1" applyFont="1" applyFill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/>
    <xf numFmtId="164" fontId="0" fillId="0" borderId="0" xfId="0" applyNumberFormat="1" applyFont="1" applyFill="1"/>
    <xf numFmtId="14" fontId="5" fillId="0" borderId="1" xfId="0" applyNumberFormat="1" applyFont="1" applyFill="1" applyBorder="1" applyAlignment="1">
      <alignment horizontal="left" vertical="center" wrapText="1"/>
    </xf>
    <xf numFmtId="0" fontId="0" fillId="2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5" fillId="2" borderId="0" xfId="0" applyFont="1" applyFill="1"/>
    <xf numFmtId="164" fontId="5" fillId="2" borderId="0" xfId="0" applyNumberFormat="1" applyFont="1" applyFill="1"/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16" fontId="6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10" fillId="0" borderId="2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center" wrapText="1" shrinkToFit="1"/>
    </xf>
    <xf numFmtId="0" fontId="5" fillId="0" borderId="1" xfId="0" applyFont="1" applyFill="1" applyBorder="1" applyAlignment="1">
      <alignment horizontal="left" vertical="center" wrapText="1" shrinkToFit="1" readingOrder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 readingOrder="1"/>
    </xf>
    <xf numFmtId="0" fontId="0" fillId="0" borderId="1" xfId="0" applyFont="1" applyFill="1" applyBorder="1" applyAlignment="1">
      <alignment horizontal="left" vertical="center" wrapText="1" readingOrder="1"/>
    </xf>
    <xf numFmtId="164" fontId="5" fillId="0" borderId="0" xfId="0" applyNumberFormat="1" applyFont="1" applyFill="1"/>
    <xf numFmtId="0" fontId="14" fillId="0" borderId="0" xfId="0" applyFont="1"/>
    <xf numFmtId="0" fontId="6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6"/>
  <sheetViews>
    <sheetView tabSelected="1" view="pageBreakPreview" topLeftCell="A388" zoomScale="85" zoomScaleNormal="100" zoomScaleSheetLayoutView="85" workbookViewId="0">
      <selection activeCell="I410" sqref="I410"/>
    </sheetView>
  </sheetViews>
  <sheetFormatPr defaultColWidth="9.109375" defaultRowHeight="13.2" x14ac:dyDescent="0.25"/>
  <cols>
    <col min="1" max="1" width="44.109375" style="1" customWidth="1"/>
    <col min="2" max="2" width="14.88671875" style="1" customWidth="1"/>
    <col min="3" max="3" width="14.5546875" style="1" customWidth="1"/>
    <col min="4" max="7" width="12.33203125" style="1" customWidth="1"/>
    <col min="8" max="8" width="12.33203125" style="30" customWidth="1"/>
    <col min="9" max="12" width="12.33203125" style="1" customWidth="1"/>
    <col min="13" max="13" width="57" style="1" customWidth="1"/>
    <col min="14" max="17" width="9.109375" style="1" customWidth="1"/>
    <col min="18" max="16384" width="9.109375" style="1"/>
  </cols>
  <sheetData>
    <row r="1" spans="1:13" ht="18" x14ac:dyDescent="0.35">
      <c r="I1" s="14"/>
      <c r="J1" s="14"/>
      <c r="K1" s="14"/>
      <c r="L1" s="14"/>
      <c r="M1" s="13" t="s">
        <v>224</v>
      </c>
    </row>
    <row r="2" spans="1:13" ht="18" x14ac:dyDescent="0.35">
      <c r="M2" s="13" t="s">
        <v>64</v>
      </c>
    </row>
    <row r="3" spans="1:13" ht="18" x14ac:dyDescent="0.35">
      <c r="M3" s="13" t="s">
        <v>359</v>
      </c>
    </row>
    <row r="5" spans="1:13" x14ac:dyDescent="0.25">
      <c r="A5" s="2"/>
      <c r="M5" s="3" t="s">
        <v>0</v>
      </c>
    </row>
    <row r="6" spans="1:13" x14ac:dyDescent="0.25">
      <c r="A6" s="2"/>
      <c r="M6" s="3" t="s">
        <v>1</v>
      </c>
    </row>
    <row r="7" spans="1:13" x14ac:dyDescent="0.25">
      <c r="A7" s="2"/>
      <c r="M7" s="3" t="s">
        <v>353</v>
      </c>
    </row>
    <row r="8" spans="1:13" x14ac:dyDescent="0.25">
      <c r="A8" s="2"/>
      <c r="M8" s="3" t="s">
        <v>2</v>
      </c>
    </row>
    <row r="9" spans="1:13" x14ac:dyDescent="0.25">
      <c r="A9" s="2"/>
      <c r="M9" s="3" t="s">
        <v>354</v>
      </c>
    </row>
    <row r="10" spans="1:13" ht="15.6" x14ac:dyDescent="0.3">
      <c r="A10" s="4"/>
    </row>
    <row r="11" spans="1:13" x14ac:dyDescent="0.25">
      <c r="A11" s="48" t="s">
        <v>3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</row>
    <row r="12" spans="1:13" x14ac:dyDescent="0.25">
      <c r="A12" s="48" t="s">
        <v>4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</row>
    <row r="13" spans="1:13" x14ac:dyDescent="0.25">
      <c r="A13" s="48" t="s">
        <v>5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</row>
    <row r="14" spans="1:13" x14ac:dyDescent="0.25">
      <c r="A14" s="48" t="s">
        <v>6</v>
      </c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</row>
    <row r="15" spans="1:13" x14ac:dyDescent="0.25">
      <c r="A15" s="48" t="s">
        <v>166</v>
      </c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</row>
    <row r="16" spans="1:13" ht="13.8" x14ac:dyDescent="0.3">
      <c r="A16" s="49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</row>
    <row r="17" spans="1:15" ht="13.2" customHeight="1" x14ac:dyDescent="0.25">
      <c r="A17" s="44" t="s">
        <v>7</v>
      </c>
      <c r="B17" s="44" t="s">
        <v>8</v>
      </c>
      <c r="C17" s="44" t="s">
        <v>9</v>
      </c>
      <c r="D17" s="44" t="s">
        <v>10</v>
      </c>
      <c r="E17" s="44"/>
      <c r="F17" s="44"/>
      <c r="G17" s="44"/>
      <c r="H17" s="44"/>
      <c r="I17" s="44"/>
      <c r="J17" s="44"/>
      <c r="K17" s="44"/>
      <c r="L17" s="44"/>
      <c r="M17" s="44" t="s">
        <v>11</v>
      </c>
    </row>
    <row r="18" spans="1:15" x14ac:dyDescent="0.25">
      <c r="A18" s="44"/>
      <c r="B18" s="44"/>
      <c r="C18" s="44"/>
      <c r="D18" s="44" t="s">
        <v>12</v>
      </c>
      <c r="E18" s="44" t="s">
        <v>13</v>
      </c>
      <c r="F18" s="44"/>
      <c r="G18" s="44"/>
      <c r="H18" s="44"/>
      <c r="I18" s="44"/>
      <c r="J18" s="44"/>
      <c r="K18" s="44"/>
      <c r="L18" s="44"/>
      <c r="M18" s="44"/>
    </row>
    <row r="19" spans="1:15" x14ac:dyDescent="0.25">
      <c r="A19" s="44"/>
      <c r="B19" s="44"/>
      <c r="C19" s="44"/>
      <c r="D19" s="44"/>
      <c r="E19" s="16">
        <v>2018</v>
      </c>
      <c r="F19" s="16">
        <v>2019</v>
      </c>
      <c r="G19" s="16">
        <v>2020</v>
      </c>
      <c r="H19" s="31">
        <v>2021</v>
      </c>
      <c r="I19" s="24">
        <v>2022</v>
      </c>
      <c r="J19" s="24">
        <v>2023</v>
      </c>
      <c r="K19" s="24">
        <v>2024</v>
      </c>
      <c r="L19" s="24">
        <v>2025</v>
      </c>
      <c r="M19" s="44"/>
    </row>
    <row r="20" spans="1:15" s="5" customFormat="1" ht="10.199999999999999" x14ac:dyDescent="0.2">
      <c r="A20" s="16">
        <v>1</v>
      </c>
      <c r="B20" s="16">
        <v>2</v>
      </c>
      <c r="C20" s="16">
        <v>3</v>
      </c>
      <c r="D20" s="16">
        <v>4</v>
      </c>
      <c r="E20" s="16">
        <v>5</v>
      </c>
      <c r="F20" s="16">
        <v>6</v>
      </c>
      <c r="G20" s="16">
        <v>7</v>
      </c>
      <c r="H20" s="31">
        <v>8</v>
      </c>
      <c r="I20" s="24">
        <v>9</v>
      </c>
      <c r="J20" s="24">
        <v>10</v>
      </c>
      <c r="K20" s="24">
        <v>11</v>
      </c>
      <c r="L20" s="24">
        <v>12</v>
      </c>
      <c r="M20" s="24">
        <v>13</v>
      </c>
    </row>
    <row r="21" spans="1:15" x14ac:dyDescent="0.25">
      <c r="A21" s="42" t="s">
        <v>14</v>
      </c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</row>
    <row r="22" spans="1:15" ht="30.6" x14ac:dyDescent="0.25">
      <c r="A22" s="17" t="s">
        <v>65</v>
      </c>
      <c r="B22" s="16" t="s">
        <v>15</v>
      </c>
      <c r="C22" s="16" t="s">
        <v>16</v>
      </c>
      <c r="D22" s="20">
        <f>SUM(E22:L22)</f>
        <v>228475.13678</v>
      </c>
      <c r="E22" s="7">
        <v>28361.7</v>
      </c>
      <c r="F22" s="7">
        <f>26514.4+2021+124.2</f>
        <v>28659.600000000002</v>
      </c>
      <c r="G22" s="7">
        <f>27254+2456.5</f>
        <v>29710.5</v>
      </c>
      <c r="H22" s="32">
        <v>31000</v>
      </c>
      <c r="I22" s="19">
        <f>30086.84089+2550.04</f>
        <v>32636.88089</v>
      </c>
      <c r="J22" s="19">
        <f>20000+2675.17</f>
        <v>22675.17</v>
      </c>
      <c r="K22" s="19">
        <f>20000+2794.405</f>
        <v>22794.404999999999</v>
      </c>
      <c r="L22" s="19">
        <f>30086.84089+2550.04</f>
        <v>32636.88089</v>
      </c>
      <c r="M22" s="23" t="s">
        <v>258</v>
      </c>
    </row>
    <row r="23" spans="1:15" ht="13.2" customHeight="1" x14ac:dyDescent="0.25">
      <c r="A23" s="42" t="s">
        <v>122</v>
      </c>
      <c r="B23" s="44" t="s">
        <v>20</v>
      </c>
      <c r="C23" s="16" t="s">
        <v>17</v>
      </c>
      <c r="D23" s="20">
        <f t="shared" ref="D23:D25" si="0">SUM(E23:L23)</f>
        <v>165227.50773999997</v>
      </c>
      <c r="E23" s="7">
        <f t="shared" ref="E23" si="1">SUM(E24:E25)</f>
        <v>14800.1</v>
      </c>
      <c r="F23" s="7">
        <f t="shared" ref="F23:I23" si="2">SUM(F24:F25)</f>
        <v>25492.400000000001</v>
      </c>
      <c r="G23" s="7">
        <f t="shared" si="2"/>
        <v>31912.9</v>
      </c>
      <c r="H23" s="32">
        <f t="shared" si="2"/>
        <v>28724.9</v>
      </c>
      <c r="I23" s="19">
        <f t="shared" si="2"/>
        <v>16684.814399999999</v>
      </c>
      <c r="J23" s="19">
        <f t="shared" ref="J23" si="3">SUM(J24:J25)</f>
        <v>15291.789470000002</v>
      </c>
      <c r="K23" s="19">
        <f>SUM(K24:K25)</f>
        <v>15635.78947</v>
      </c>
      <c r="L23" s="19">
        <v>16684.814399999999</v>
      </c>
      <c r="M23" s="40" t="s">
        <v>133</v>
      </c>
    </row>
    <row r="24" spans="1:15" ht="12.6" customHeight="1" x14ac:dyDescent="0.25">
      <c r="A24" s="42"/>
      <c r="B24" s="44"/>
      <c r="C24" s="16" t="s">
        <v>18</v>
      </c>
      <c r="D24" s="20">
        <f t="shared" si="0"/>
        <v>142348.40000000002</v>
      </c>
      <c r="E24" s="6">
        <f>SUMIFS(E26:E62,$C26:$C62,$C24)</f>
        <v>11744.1</v>
      </c>
      <c r="F24" s="6">
        <f t="shared" ref="F24:H24" si="4">SUMIFS(F26:F62,$C26:$C62,$C24)</f>
        <v>21542.5</v>
      </c>
      <c r="G24" s="6">
        <f t="shared" si="4"/>
        <v>26890.2</v>
      </c>
      <c r="H24" s="33">
        <f t="shared" si="4"/>
        <v>24374.400000000001</v>
      </c>
      <c r="I24" s="20">
        <f>SUMIFS(I26:I62,$C26:$C62,$C24)</f>
        <v>14208</v>
      </c>
      <c r="J24" s="20">
        <v>14527.2</v>
      </c>
      <c r="K24" s="20">
        <v>14854</v>
      </c>
      <c r="L24" s="20">
        <v>14208</v>
      </c>
      <c r="M24" s="40"/>
    </row>
    <row r="25" spans="1:15" x14ac:dyDescent="0.25">
      <c r="A25" s="42"/>
      <c r="B25" s="44"/>
      <c r="C25" s="16" t="s">
        <v>19</v>
      </c>
      <c r="D25" s="20">
        <f t="shared" si="0"/>
        <v>22879.107739999996</v>
      </c>
      <c r="E25" s="6">
        <f>SUMIFS(E26:E62,$C26:$C62,$C25)</f>
        <v>3056</v>
      </c>
      <c r="F25" s="6">
        <f t="shared" ref="F25:H25" si="5">SUMIFS(F26:F62,$C26:$C62,$C25)</f>
        <v>3949.9</v>
      </c>
      <c r="G25" s="6">
        <f t="shared" si="5"/>
        <v>5022.7</v>
      </c>
      <c r="H25" s="33">
        <f t="shared" si="5"/>
        <v>4350.5</v>
      </c>
      <c r="I25" s="20">
        <f>SUMIFS(I26:I62,$C26:$C62,$C25)</f>
        <v>2476.8144000000002</v>
      </c>
      <c r="J25" s="20">
        <v>764.58947000000001</v>
      </c>
      <c r="K25" s="20">
        <v>781.78947000000005</v>
      </c>
      <c r="L25" s="20">
        <v>2476.8144000000002</v>
      </c>
      <c r="M25" s="40"/>
      <c r="O25" s="28"/>
    </row>
    <row r="26" spans="1:15" x14ac:dyDescent="0.25">
      <c r="A26" s="40" t="s">
        <v>288</v>
      </c>
      <c r="B26" s="44" t="s">
        <v>20</v>
      </c>
      <c r="C26" s="16" t="s">
        <v>17</v>
      </c>
      <c r="D26" s="21">
        <f>SUM(E26:L26)</f>
        <v>16684.814399999999</v>
      </c>
      <c r="E26" s="8"/>
      <c r="F26" s="8"/>
      <c r="G26" s="8"/>
      <c r="H26" s="34"/>
      <c r="I26" s="21">
        <f>SUM(I27:I28)</f>
        <v>16684.814399999999</v>
      </c>
      <c r="J26" s="21"/>
      <c r="K26" s="21"/>
      <c r="L26" s="21"/>
      <c r="M26" s="40"/>
    </row>
    <row r="27" spans="1:15" x14ac:dyDescent="0.25">
      <c r="A27" s="40"/>
      <c r="B27" s="44"/>
      <c r="C27" s="16" t="s">
        <v>18</v>
      </c>
      <c r="D27" s="21">
        <f>SUM(E27:L27)</f>
        <v>14208</v>
      </c>
      <c r="E27" s="8"/>
      <c r="F27" s="8"/>
      <c r="G27" s="8"/>
      <c r="H27" s="34"/>
      <c r="I27" s="21">
        <v>14208</v>
      </c>
      <c r="J27" s="21"/>
      <c r="K27" s="21"/>
      <c r="L27" s="21"/>
      <c r="M27" s="40"/>
    </row>
    <row r="28" spans="1:15" x14ac:dyDescent="0.25">
      <c r="A28" s="40"/>
      <c r="B28" s="44"/>
      <c r="C28" s="16" t="s">
        <v>19</v>
      </c>
      <c r="D28" s="21">
        <f>SUM(E28:L28)</f>
        <v>2476.8144000000002</v>
      </c>
      <c r="E28" s="8"/>
      <c r="F28" s="8"/>
      <c r="G28" s="8"/>
      <c r="H28" s="34"/>
      <c r="I28" s="21">
        <f>1729.02493+747.78947</f>
        <v>2476.8144000000002</v>
      </c>
      <c r="J28" s="21"/>
      <c r="K28" s="21"/>
      <c r="L28" s="21"/>
      <c r="M28" s="40"/>
    </row>
    <row r="29" spans="1:15" ht="20.399999999999999" x14ac:dyDescent="0.25">
      <c r="A29" s="15" t="s">
        <v>285</v>
      </c>
      <c r="B29" s="16"/>
      <c r="C29" s="16"/>
      <c r="D29" s="21"/>
      <c r="E29" s="8"/>
      <c r="F29" s="8"/>
      <c r="G29" s="8"/>
      <c r="H29" s="34"/>
      <c r="I29" s="21"/>
      <c r="J29" s="21"/>
      <c r="K29" s="21"/>
      <c r="L29" s="21"/>
      <c r="M29" s="40"/>
    </row>
    <row r="30" spans="1:15" ht="20.399999999999999" x14ac:dyDescent="0.25">
      <c r="A30" s="15" t="s">
        <v>286</v>
      </c>
      <c r="B30" s="16"/>
      <c r="C30" s="16"/>
      <c r="D30" s="21"/>
      <c r="E30" s="8"/>
      <c r="F30" s="8"/>
      <c r="G30" s="8"/>
      <c r="H30" s="34"/>
      <c r="I30" s="21"/>
      <c r="J30" s="21"/>
      <c r="K30" s="21"/>
      <c r="L30" s="21"/>
      <c r="M30" s="40"/>
    </row>
    <row r="31" spans="1:15" ht="20.399999999999999" x14ac:dyDescent="0.25">
      <c r="A31" s="15" t="s">
        <v>125</v>
      </c>
      <c r="B31" s="16"/>
      <c r="C31" s="16"/>
      <c r="D31" s="21"/>
      <c r="E31" s="8"/>
      <c r="F31" s="8"/>
      <c r="G31" s="8"/>
      <c r="H31" s="34"/>
      <c r="I31" s="21"/>
      <c r="J31" s="21"/>
      <c r="K31" s="21"/>
      <c r="L31" s="21"/>
      <c r="M31" s="40"/>
    </row>
    <row r="32" spans="1:15" x14ac:dyDescent="0.25">
      <c r="A32" s="40" t="s">
        <v>22</v>
      </c>
      <c r="B32" s="44" t="s">
        <v>20</v>
      </c>
      <c r="C32" s="16" t="s">
        <v>17</v>
      </c>
      <c r="D32" s="21">
        <f>SUM(E32:L32)</f>
        <v>3153.1</v>
      </c>
      <c r="E32" s="8">
        <f>SUM(E33:E34)</f>
        <v>3153.1</v>
      </c>
      <c r="F32" s="8"/>
      <c r="G32" s="8"/>
      <c r="H32" s="34"/>
      <c r="I32" s="21"/>
      <c r="J32" s="21"/>
      <c r="K32" s="21"/>
      <c r="L32" s="21"/>
      <c r="M32" s="40"/>
    </row>
    <row r="33" spans="1:13" x14ac:dyDescent="0.25">
      <c r="A33" s="40"/>
      <c r="B33" s="44"/>
      <c r="C33" s="16" t="s">
        <v>18</v>
      </c>
      <c r="D33" s="21">
        <f t="shared" ref="D33:D47" si="6">SUM(E33:L33)</f>
        <v>97.1</v>
      </c>
      <c r="E33" s="8">
        <v>97.1</v>
      </c>
      <c r="F33" s="8"/>
      <c r="G33" s="8"/>
      <c r="H33" s="34"/>
      <c r="I33" s="21"/>
      <c r="J33" s="21"/>
      <c r="K33" s="21"/>
      <c r="L33" s="21"/>
      <c r="M33" s="40"/>
    </row>
    <row r="34" spans="1:13" x14ac:dyDescent="0.25">
      <c r="A34" s="40"/>
      <c r="B34" s="44"/>
      <c r="C34" s="16" t="s">
        <v>19</v>
      </c>
      <c r="D34" s="21">
        <f t="shared" si="6"/>
        <v>3056</v>
      </c>
      <c r="E34" s="8">
        <v>3056</v>
      </c>
      <c r="F34" s="8"/>
      <c r="G34" s="8"/>
      <c r="H34" s="34"/>
      <c r="I34" s="21"/>
      <c r="J34" s="21"/>
      <c r="K34" s="21"/>
      <c r="L34" s="21"/>
      <c r="M34" s="40"/>
    </row>
    <row r="35" spans="1:13" ht="25.2" customHeight="1" x14ac:dyDescent="0.25">
      <c r="A35" s="15" t="s">
        <v>66</v>
      </c>
      <c r="B35" s="16" t="s">
        <v>20</v>
      </c>
      <c r="C35" s="16" t="s">
        <v>46</v>
      </c>
      <c r="D35" s="21">
        <f t="shared" si="6"/>
        <v>11647</v>
      </c>
      <c r="E35" s="8">
        <f>11657.7-10.7</f>
        <v>11647</v>
      </c>
      <c r="F35" s="8"/>
      <c r="G35" s="8"/>
      <c r="H35" s="34"/>
      <c r="I35" s="21"/>
      <c r="J35" s="21"/>
      <c r="K35" s="21"/>
      <c r="L35" s="21"/>
      <c r="M35" s="40"/>
    </row>
    <row r="36" spans="1:13" x14ac:dyDescent="0.25">
      <c r="A36" s="40" t="s">
        <v>93</v>
      </c>
      <c r="B36" s="44" t="s">
        <v>20</v>
      </c>
      <c r="C36" s="16" t="s">
        <v>17</v>
      </c>
      <c r="D36" s="21">
        <f t="shared" si="6"/>
        <v>3304.5999999999995</v>
      </c>
      <c r="E36" s="8"/>
      <c r="F36" s="8">
        <f>SUM(F37:F38)</f>
        <v>3304.5999999999995</v>
      </c>
      <c r="G36" s="8"/>
      <c r="H36" s="34"/>
      <c r="I36" s="21"/>
      <c r="J36" s="21"/>
      <c r="K36" s="21"/>
      <c r="L36" s="21"/>
      <c r="M36" s="40"/>
    </row>
    <row r="37" spans="1:13" x14ac:dyDescent="0.25">
      <c r="A37" s="40"/>
      <c r="B37" s="44"/>
      <c r="C37" s="16" t="s">
        <v>18</v>
      </c>
      <c r="D37" s="21">
        <f t="shared" si="6"/>
        <v>2775.8999999999996</v>
      </c>
      <c r="E37" s="8"/>
      <c r="F37" s="8">
        <f>3053.7-277.8</f>
        <v>2775.8999999999996</v>
      </c>
      <c r="G37" s="8"/>
      <c r="H37" s="34"/>
      <c r="I37" s="21"/>
      <c r="J37" s="21"/>
      <c r="K37" s="21"/>
      <c r="L37" s="21"/>
      <c r="M37" s="40"/>
    </row>
    <row r="38" spans="1:13" x14ac:dyDescent="0.25">
      <c r="A38" s="40"/>
      <c r="B38" s="44"/>
      <c r="C38" s="16" t="s">
        <v>19</v>
      </c>
      <c r="D38" s="21">
        <f t="shared" si="6"/>
        <v>528.70000000000005</v>
      </c>
      <c r="E38" s="8"/>
      <c r="F38" s="8">
        <f>581.7-53</f>
        <v>528.70000000000005</v>
      </c>
      <c r="G38" s="8"/>
      <c r="H38" s="34"/>
      <c r="I38" s="21"/>
      <c r="J38" s="21"/>
      <c r="K38" s="21"/>
      <c r="L38" s="21"/>
      <c r="M38" s="40"/>
    </row>
    <row r="39" spans="1:13" x14ac:dyDescent="0.25">
      <c r="A39" s="40" t="s">
        <v>96</v>
      </c>
      <c r="B39" s="44" t="s">
        <v>20</v>
      </c>
      <c r="C39" s="16" t="s">
        <v>17</v>
      </c>
      <c r="D39" s="21">
        <f t="shared" si="6"/>
        <v>7990</v>
      </c>
      <c r="E39" s="8"/>
      <c r="F39" s="8">
        <f>SUM(F40:F41)</f>
        <v>7990</v>
      </c>
      <c r="G39" s="8"/>
      <c r="H39" s="34"/>
      <c r="I39" s="21"/>
      <c r="J39" s="21"/>
      <c r="K39" s="21"/>
      <c r="L39" s="21"/>
      <c r="M39" s="40"/>
    </row>
    <row r="40" spans="1:13" x14ac:dyDescent="0.25">
      <c r="A40" s="40"/>
      <c r="B40" s="44"/>
      <c r="C40" s="16" t="s">
        <v>18</v>
      </c>
      <c r="D40" s="21">
        <f t="shared" si="6"/>
        <v>6711.5999999999995</v>
      </c>
      <c r="E40" s="8"/>
      <c r="F40" s="8">
        <f>6629.4+82.2</f>
        <v>6711.5999999999995</v>
      </c>
      <c r="G40" s="8"/>
      <c r="H40" s="34"/>
      <c r="I40" s="21"/>
      <c r="J40" s="21"/>
      <c r="K40" s="21"/>
      <c r="L40" s="21"/>
      <c r="M40" s="40"/>
    </row>
    <row r="41" spans="1:13" x14ac:dyDescent="0.25">
      <c r="A41" s="40"/>
      <c r="B41" s="44"/>
      <c r="C41" s="16" t="s">
        <v>19</v>
      </c>
      <c r="D41" s="21">
        <f t="shared" si="6"/>
        <v>1278.4000000000001</v>
      </c>
      <c r="E41" s="8"/>
      <c r="F41" s="8">
        <f>1262.7+15.7</f>
        <v>1278.4000000000001</v>
      </c>
      <c r="G41" s="8"/>
      <c r="H41" s="34"/>
      <c r="I41" s="21"/>
      <c r="J41" s="21"/>
      <c r="K41" s="21"/>
      <c r="L41" s="21"/>
      <c r="M41" s="40"/>
    </row>
    <row r="42" spans="1:13" x14ac:dyDescent="0.25">
      <c r="A42" s="40" t="s">
        <v>176</v>
      </c>
      <c r="B42" s="44" t="s">
        <v>20</v>
      </c>
      <c r="C42" s="16" t="s">
        <v>17</v>
      </c>
      <c r="D42" s="21">
        <f t="shared" si="6"/>
        <v>21950.9</v>
      </c>
      <c r="E42" s="8"/>
      <c r="F42" s="8"/>
      <c r="G42" s="8">
        <f>SUM(G43:G44)</f>
        <v>21950.9</v>
      </c>
      <c r="H42" s="34"/>
      <c r="I42" s="21"/>
      <c r="J42" s="21"/>
      <c r="K42" s="21"/>
      <c r="L42" s="21"/>
      <c r="M42" s="40"/>
    </row>
    <row r="43" spans="1:13" ht="13.8" customHeight="1" x14ac:dyDescent="0.25">
      <c r="A43" s="40"/>
      <c r="B43" s="44"/>
      <c r="C43" s="16" t="s">
        <v>18</v>
      </c>
      <c r="D43" s="21">
        <f t="shared" si="6"/>
        <v>18438.5</v>
      </c>
      <c r="E43" s="8"/>
      <c r="F43" s="8"/>
      <c r="G43" s="8">
        <v>18438.5</v>
      </c>
      <c r="H43" s="34"/>
      <c r="I43" s="21"/>
      <c r="J43" s="21"/>
      <c r="K43" s="21"/>
      <c r="L43" s="21"/>
      <c r="M43" s="40"/>
    </row>
    <row r="44" spans="1:13" x14ac:dyDescent="0.25">
      <c r="A44" s="40"/>
      <c r="B44" s="44"/>
      <c r="C44" s="16" t="s">
        <v>19</v>
      </c>
      <c r="D44" s="21">
        <f t="shared" si="6"/>
        <v>3512.4</v>
      </c>
      <c r="E44" s="8"/>
      <c r="F44" s="8"/>
      <c r="G44" s="8">
        <v>3512.4</v>
      </c>
      <c r="H44" s="34"/>
      <c r="I44" s="21"/>
      <c r="J44" s="21"/>
      <c r="K44" s="21"/>
      <c r="L44" s="21"/>
      <c r="M44" s="40"/>
    </row>
    <row r="45" spans="1:13" x14ac:dyDescent="0.25">
      <c r="A45" s="40" t="s">
        <v>120</v>
      </c>
      <c r="B45" s="44" t="s">
        <v>20</v>
      </c>
      <c r="C45" s="16" t="s">
        <v>17</v>
      </c>
      <c r="D45" s="21">
        <f t="shared" si="6"/>
        <v>10726.8</v>
      </c>
      <c r="E45" s="8"/>
      <c r="F45" s="8">
        <f>SUM(F46:F47)</f>
        <v>10726.8</v>
      </c>
      <c r="G45" s="8"/>
      <c r="H45" s="34"/>
      <c r="I45" s="21"/>
      <c r="J45" s="21"/>
      <c r="K45" s="21"/>
      <c r="L45" s="21"/>
      <c r="M45" s="40"/>
    </row>
    <row r="46" spans="1:13" x14ac:dyDescent="0.25">
      <c r="A46" s="40"/>
      <c r="B46" s="44"/>
      <c r="C46" s="16" t="s">
        <v>18</v>
      </c>
      <c r="D46" s="21">
        <f t="shared" si="6"/>
        <v>9010.5</v>
      </c>
      <c r="E46" s="8"/>
      <c r="F46" s="8">
        <f>8361.6+648.9</f>
        <v>9010.5</v>
      </c>
      <c r="G46" s="8"/>
      <c r="H46" s="34"/>
      <c r="I46" s="21"/>
      <c r="J46" s="21"/>
      <c r="K46" s="21"/>
      <c r="L46" s="21"/>
      <c r="M46" s="40"/>
    </row>
    <row r="47" spans="1:13" x14ac:dyDescent="0.25">
      <c r="A47" s="40"/>
      <c r="B47" s="44"/>
      <c r="C47" s="16" t="s">
        <v>19</v>
      </c>
      <c r="D47" s="21">
        <f t="shared" si="6"/>
        <v>1716.3</v>
      </c>
      <c r="E47" s="8"/>
      <c r="F47" s="8">
        <f>1592.7+123.6</f>
        <v>1716.3</v>
      </c>
      <c r="G47" s="8"/>
      <c r="H47" s="34"/>
      <c r="I47" s="21"/>
      <c r="J47" s="21"/>
      <c r="K47" s="21"/>
      <c r="L47" s="21"/>
      <c r="M47" s="40"/>
    </row>
    <row r="48" spans="1:13" ht="20.399999999999999" x14ac:dyDescent="0.25">
      <c r="A48" s="15" t="s">
        <v>121</v>
      </c>
      <c r="B48" s="16"/>
      <c r="C48" s="16"/>
      <c r="D48" s="21"/>
      <c r="E48" s="8"/>
      <c r="F48" s="8"/>
      <c r="G48" s="8"/>
      <c r="H48" s="34"/>
      <c r="I48" s="21"/>
      <c r="J48" s="21"/>
      <c r="K48" s="21"/>
      <c r="L48" s="21"/>
      <c r="M48" s="40"/>
    </row>
    <row r="49" spans="1:13" x14ac:dyDescent="0.25">
      <c r="A49" s="40" t="s">
        <v>289</v>
      </c>
      <c r="B49" s="44" t="s">
        <v>20</v>
      </c>
      <c r="C49" s="16" t="s">
        <v>17</v>
      </c>
      <c r="D49" s="21">
        <f t="shared" ref="D49:D58" si="7">SUM(E49:L49)</f>
        <v>5884.3</v>
      </c>
      <c r="E49" s="8"/>
      <c r="F49" s="8"/>
      <c r="G49" s="8"/>
      <c r="H49" s="34">
        <f>SUM(H50:H51)</f>
        <v>5884.3</v>
      </c>
      <c r="I49" s="21"/>
      <c r="J49" s="21"/>
      <c r="K49" s="21"/>
      <c r="L49" s="21"/>
      <c r="M49" s="40"/>
    </row>
    <row r="50" spans="1:13" x14ac:dyDescent="0.25">
      <c r="A50" s="40"/>
      <c r="B50" s="44"/>
      <c r="C50" s="16" t="s">
        <v>18</v>
      </c>
      <c r="D50" s="21">
        <f t="shared" si="7"/>
        <v>5188.5</v>
      </c>
      <c r="E50" s="8"/>
      <c r="F50" s="8"/>
      <c r="G50" s="8"/>
      <c r="H50" s="34">
        <f>4748.7+689.3-249.5</f>
        <v>5188.5</v>
      </c>
      <c r="I50" s="21"/>
      <c r="J50" s="21"/>
      <c r="K50" s="21"/>
      <c r="L50" s="21"/>
      <c r="M50" s="40"/>
    </row>
    <row r="51" spans="1:13" x14ac:dyDescent="0.25">
      <c r="A51" s="40"/>
      <c r="B51" s="44"/>
      <c r="C51" s="16" t="s">
        <v>19</v>
      </c>
      <c r="D51" s="21">
        <f t="shared" si="7"/>
        <v>695.80000000000018</v>
      </c>
      <c r="E51" s="8"/>
      <c r="F51" s="8"/>
      <c r="G51" s="8"/>
      <c r="H51" s="34">
        <f>1373.4-20.3-217.5-689.3+249.5</f>
        <v>695.80000000000018</v>
      </c>
      <c r="I51" s="21"/>
      <c r="J51" s="21"/>
      <c r="K51" s="21"/>
      <c r="L51" s="21"/>
      <c r="M51" s="40"/>
    </row>
    <row r="52" spans="1:13" x14ac:dyDescent="0.25">
      <c r="A52" s="40" t="s">
        <v>294</v>
      </c>
      <c r="B52" s="44" t="s">
        <v>20</v>
      </c>
      <c r="C52" s="16" t="s">
        <v>17</v>
      </c>
      <c r="D52" s="21">
        <f t="shared" si="7"/>
        <v>9137.4</v>
      </c>
      <c r="E52" s="8"/>
      <c r="F52" s="8"/>
      <c r="G52" s="8">
        <f>SUM(G53:G54)</f>
        <v>9137.4</v>
      </c>
      <c r="H52" s="34"/>
      <c r="I52" s="21"/>
      <c r="J52" s="21"/>
      <c r="K52" s="21"/>
      <c r="L52" s="21"/>
      <c r="M52" s="40"/>
    </row>
    <row r="53" spans="1:13" x14ac:dyDescent="0.25">
      <c r="A53" s="41"/>
      <c r="B53" s="44"/>
      <c r="C53" s="16" t="s">
        <v>18</v>
      </c>
      <c r="D53" s="21">
        <f t="shared" si="7"/>
        <v>7675.3</v>
      </c>
      <c r="E53" s="8"/>
      <c r="F53" s="8"/>
      <c r="G53" s="8">
        <v>7675.3</v>
      </c>
      <c r="H53" s="34"/>
      <c r="I53" s="21"/>
      <c r="J53" s="21"/>
      <c r="K53" s="21"/>
      <c r="L53" s="21"/>
      <c r="M53" s="40"/>
    </row>
    <row r="54" spans="1:13" x14ac:dyDescent="0.25">
      <c r="A54" s="41"/>
      <c r="B54" s="44"/>
      <c r="C54" s="16" t="s">
        <v>19</v>
      </c>
      <c r="D54" s="21">
        <f t="shared" si="7"/>
        <v>1462.1</v>
      </c>
      <c r="E54" s="8"/>
      <c r="F54" s="8"/>
      <c r="G54" s="8">
        <v>1462.1</v>
      </c>
      <c r="H54" s="34"/>
      <c r="I54" s="21"/>
      <c r="J54" s="21"/>
      <c r="K54" s="21"/>
      <c r="L54" s="21"/>
      <c r="M54" s="40"/>
    </row>
    <row r="55" spans="1:13" x14ac:dyDescent="0.25">
      <c r="A55" s="40" t="s">
        <v>94</v>
      </c>
      <c r="B55" s="44" t="s">
        <v>20</v>
      </c>
      <c r="C55" s="16" t="s">
        <v>17</v>
      </c>
      <c r="D55" s="21">
        <f t="shared" si="7"/>
        <v>2665.5</v>
      </c>
      <c r="E55" s="8"/>
      <c r="F55" s="8">
        <f>SUM(F56:F57)</f>
        <v>2665.5</v>
      </c>
      <c r="G55" s="8"/>
      <c r="H55" s="34"/>
      <c r="I55" s="21"/>
      <c r="J55" s="21"/>
      <c r="K55" s="21"/>
      <c r="L55" s="21"/>
      <c r="M55" s="40"/>
    </row>
    <row r="56" spans="1:13" x14ac:dyDescent="0.25">
      <c r="A56" s="40"/>
      <c r="B56" s="44"/>
      <c r="C56" s="16" t="s">
        <v>18</v>
      </c>
      <c r="D56" s="21">
        <f t="shared" si="7"/>
        <v>2239</v>
      </c>
      <c r="E56" s="8"/>
      <c r="F56" s="8">
        <f>2692.3-453.3</f>
        <v>2239</v>
      </c>
      <c r="G56" s="8"/>
      <c r="H56" s="34"/>
      <c r="I56" s="21"/>
      <c r="J56" s="21"/>
      <c r="K56" s="21"/>
      <c r="L56" s="21"/>
      <c r="M56" s="40"/>
    </row>
    <row r="57" spans="1:13" x14ac:dyDescent="0.25">
      <c r="A57" s="40"/>
      <c r="B57" s="44"/>
      <c r="C57" s="16" t="s">
        <v>19</v>
      </c>
      <c r="D57" s="21">
        <f t="shared" si="7"/>
        <v>426.49999999999994</v>
      </c>
      <c r="E57" s="8"/>
      <c r="F57" s="8">
        <f>512.8-86.3</f>
        <v>426.49999999999994</v>
      </c>
      <c r="G57" s="8"/>
      <c r="H57" s="34"/>
      <c r="I57" s="21"/>
      <c r="J57" s="21"/>
      <c r="K57" s="21"/>
      <c r="L57" s="21"/>
      <c r="M57" s="40"/>
    </row>
    <row r="58" spans="1:13" x14ac:dyDescent="0.25">
      <c r="A58" s="15" t="s">
        <v>95</v>
      </c>
      <c r="B58" s="16" t="s">
        <v>20</v>
      </c>
      <c r="C58" s="16" t="s">
        <v>46</v>
      </c>
      <c r="D58" s="21">
        <f t="shared" si="7"/>
        <v>805.5</v>
      </c>
      <c r="E58" s="8"/>
      <c r="F58" s="8">
        <f>805.5+132.4-132.4</f>
        <v>805.5</v>
      </c>
      <c r="G58" s="8"/>
      <c r="H58" s="34"/>
      <c r="I58" s="21"/>
      <c r="J58" s="21"/>
      <c r="K58" s="21"/>
      <c r="L58" s="21"/>
      <c r="M58" s="40"/>
    </row>
    <row r="59" spans="1:13" ht="20.399999999999999" x14ac:dyDescent="0.25">
      <c r="A59" s="15" t="s">
        <v>170</v>
      </c>
      <c r="B59" s="16"/>
      <c r="C59" s="16"/>
      <c r="D59" s="21"/>
      <c r="E59" s="8"/>
      <c r="F59" s="6"/>
      <c r="G59" s="8"/>
      <c r="H59" s="34"/>
      <c r="I59" s="21"/>
      <c r="J59" s="21"/>
      <c r="K59" s="21"/>
      <c r="L59" s="21"/>
      <c r="M59" s="40"/>
    </row>
    <row r="60" spans="1:13" x14ac:dyDescent="0.25">
      <c r="A60" s="40" t="s">
        <v>304</v>
      </c>
      <c r="B60" s="44" t="s">
        <v>20</v>
      </c>
      <c r="C60" s="16" t="s">
        <v>17</v>
      </c>
      <c r="D60" s="21">
        <f t="shared" ref="D60:D74" si="8">SUM(E60:L60)</f>
        <v>23665.200000000001</v>
      </c>
      <c r="E60" s="8"/>
      <c r="F60" s="8"/>
      <c r="G60" s="8">
        <f>SUM(G61:G62)</f>
        <v>824.6</v>
      </c>
      <c r="H60" s="34">
        <f>SUM(H61:H62)</f>
        <v>22840.600000000002</v>
      </c>
      <c r="I60" s="21"/>
      <c r="J60" s="21"/>
      <c r="K60" s="21"/>
      <c r="L60" s="21"/>
      <c r="M60" s="40"/>
    </row>
    <row r="61" spans="1:13" x14ac:dyDescent="0.25">
      <c r="A61" s="41"/>
      <c r="B61" s="44"/>
      <c r="C61" s="16" t="s">
        <v>18</v>
      </c>
      <c r="D61" s="21">
        <f t="shared" si="8"/>
        <v>19962.300000000003</v>
      </c>
      <c r="E61" s="8"/>
      <c r="F61" s="8"/>
      <c r="G61" s="8">
        <v>776.4</v>
      </c>
      <c r="H61" s="34">
        <v>19185.900000000001</v>
      </c>
      <c r="I61" s="21"/>
      <c r="J61" s="21"/>
      <c r="K61" s="21"/>
      <c r="L61" s="21"/>
      <c r="M61" s="40"/>
    </row>
    <row r="62" spans="1:13" x14ac:dyDescent="0.25">
      <c r="A62" s="41"/>
      <c r="B62" s="44"/>
      <c r="C62" s="16" t="s">
        <v>19</v>
      </c>
      <c r="D62" s="21">
        <f t="shared" si="8"/>
        <v>3702.8999999999996</v>
      </c>
      <c r="E62" s="8"/>
      <c r="F62" s="8"/>
      <c r="G62" s="8">
        <v>48.2</v>
      </c>
      <c r="H62" s="34">
        <v>3654.7</v>
      </c>
      <c r="I62" s="21"/>
      <c r="J62" s="21"/>
      <c r="K62" s="21"/>
      <c r="L62" s="21"/>
      <c r="M62" s="40"/>
    </row>
    <row r="63" spans="1:13" x14ac:dyDescent="0.25">
      <c r="A63" s="42" t="s">
        <v>23</v>
      </c>
      <c r="B63" s="44" t="s">
        <v>20</v>
      </c>
      <c r="C63" s="16" t="s">
        <v>17</v>
      </c>
      <c r="D63" s="20">
        <f t="shared" si="8"/>
        <v>15340.9604</v>
      </c>
      <c r="E63" s="7">
        <f>SUM(E64:E65)</f>
        <v>2766.2</v>
      </c>
      <c r="F63" s="7">
        <f t="shared" ref="F63:L63" si="9">SUM(F64:F65)</f>
        <v>0</v>
      </c>
      <c r="G63" s="7">
        <f t="shared" si="9"/>
        <v>0</v>
      </c>
      <c r="H63" s="32">
        <f t="shared" si="9"/>
        <v>1695.6999999999998</v>
      </c>
      <c r="I63" s="19">
        <f t="shared" si="9"/>
        <v>0</v>
      </c>
      <c r="J63" s="19">
        <f t="shared" si="9"/>
        <v>0</v>
      </c>
      <c r="K63" s="19">
        <f t="shared" si="9"/>
        <v>0</v>
      </c>
      <c r="L63" s="19">
        <f t="shared" si="9"/>
        <v>10879.0604</v>
      </c>
      <c r="M63" s="40" t="s">
        <v>259</v>
      </c>
    </row>
    <row r="64" spans="1:13" x14ac:dyDescent="0.25">
      <c r="A64" s="41"/>
      <c r="B64" s="47"/>
      <c r="C64" s="16" t="s">
        <v>18</v>
      </c>
      <c r="D64" s="20">
        <f t="shared" si="8"/>
        <v>1495.1</v>
      </c>
      <c r="E64" s="6">
        <f t="shared" ref="E64:L64" si="10">SUMIFS(E66:E77,$C66:$C77,$C64)</f>
        <v>0</v>
      </c>
      <c r="F64" s="6">
        <f t="shared" si="10"/>
        <v>0</v>
      </c>
      <c r="G64" s="6">
        <f t="shared" si="10"/>
        <v>0</v>
      </c>
      <c r="H64" s="33">
        <f t="shared" si="10"/>
        <v>1495.1</v>
      </c>
      <c r="I64" s="20">
        <f t="shared" si="10"/>
        <v>0</v>
      </c>
      <c r="J64" s="20">
        <f t="shared" si="10"/>
        <v>0</v>
      </c>
      <c r="K64" s="20">
        <f t="shared" si="10"/>
        <v>0</v>
      </c>
      <c r="L64" s="20">
        <f t="shared" si="10"/>
        <v>0</v>
      </c>
      <c r="M64" s="40"/>
    </row>
    <row r="65" spans="1:13" x14ac:dyDescent="0.25">
      <c r="A65" s="41"/>
      <c r="B65" s="47"/>
      <c r="C65" s="16" t="s">
        <v>19</v>
      </c>
      <c r="D65" s="20">
        <f t="shared" si="8"/>
        <v>13845.8604</v>
      </c>
      <c r="E65" s="6">
        <f t="shared" ref="E65:L65" si="11">SUMIFS(E66:E77,$C66:$C77,$C65)</f>
        <v>2766.2</v>
      </c>
      <c r="F65" s="6">
        <f t="shared" si="11"/>
        <v>0</v>
      </c>
      <c r="G65" s="6">
        <f t="shared" si="11"/>
        <v>0</v>
      </c>
      <c r="H65" s="33">
        <f t="shared" si="11"/>
        <v>200.6</v>
      </c>
      <c r="I65" s="20">
        <f t="shared" si="11"/>
        <v>0</v>
      </c>
      <c r="J65" s="20">
        <f t="shared" si="11"/>
        <v>0</v>
      </c>
      <c r="K65" s="20">
        <f t="shared" si="11"/>
        <v>0</v>
      </c>
      <c r="L65" s="20">
        <f t="shared" si="11"/>
        <v>10879.0604</v>
      </c>
      <c r="M65" s="40"/>
    </row>
    <row r="66" spans="1:13" x14ac:dyDescent="0.25">
      <c r="A66" s="15" t="s">
        <v>272</v>
      </c>
      <c r="B66" s="16" t="s">
        <v>20</v>
      </c>
      <c r="C66" s="16" t="s">
        <v>16</v>
      </c>
      <c r="D66" s="21">
        <f t="shared" si="8"/>
        <v>4717.4603999999999</v>
      </c>
      <c r="E66" s="8"/>
      <c r="F66" s="8"/>
      <c r="G66" s="8"/>
      <c r="H66" s="34"/>
      <c r="I66" s="21"/>
      <c r="J66" s="21"/>
      <c r="K66" s="21"/>
      <c r="L66" s="21">
        <v>4717.4603999999999</v>
      </c>
      <c r="M66" s="40"/>
    </row>
    <row r="67" spans="1:13" ht="20.399999999999999" x14ac:dyDescent="0.25">
      <c r="A67" s="15" t="s">
        <v>24</v>
      </c>
      <c r="B67" s="16" t="s">
        <v>20</v>
      </c>
      <c r="C67" s="16" t="s">
        <v>16</v>
      </c>
      <c r="D67" s="21">
        <f t="shared" si="8"/>
        <v>529.1</v>
      </c>
      <c r="E67" s="8"/>
      <c r="F67" s="8"/>
      <c r="G67" s="8"/>
      <c r="H67" s="34"/>
      <c r="I67" s="21"/>
      <c r="J67" s="21"/>
      <c r="K67" s="21"/>
      <c r="L67" s="21">
        <v>529.1</v>
      </c>
      <c r="M67" s="40"/>
    </row>
    <row r="68" spans="1:13" x14ac:dyDescent="0.25">
      <c r="A68" s="15" t="s">
        <v>71</v>
      </c>
      <c r="B68" s="16" t="s">
        <v>20</v>
      </c>
      <c r="C68" s="16" t="s">
        <v>16</v>
      </c>
      <c r="D68" s="21">
        <f t="shared" si="8"/>
        <v>2635</v>
      </c>
      <c r="E68" s="8">
        <v>2635</v>
      </c>
      <c r="F68" s="8"/>
      <c r="G68" s="8"/>
      <c r="H68" s="34"/>
      <c r="I68" s="21"/>
      <c r="J68" s="21"/>
      <c r="K68" s="21"/>
      <c r="L68" s="21"/>
      <c r="M68" s="40"/>
    </row>
    <row r="69" spans="1:13" ht="20.399999999999999" x14ac:dyDescent="0.25">
      <c r="A69" s="15" t="s">
        <v>25</v>
      </c>
      <c r="B69" s="16" t="s">
        <v>20</v>
      </c>
      <c r="C69" s="16" t="s">
        <v>16</v>
      </c>
      <c r="D69" s="21">
        <f t="shared" si="8"/>
        <v>131.19999999999999</v>
      </c>
      <c r="E69" s="8">
        <v>131.19999999999999</v>
      </c>
      <c r="F69" s="8"/>
      <c r="G69" s="8"/>
      <c r="H69" s="34"/>
      <c r="I69" s="21"/>
      <c r="J69" s="21"/>
      <c r="K69" s="21"/>
      <c r="L69" s="21"/>
      <c r="M69" s="40"/>
    </row>
    <row r="70" spans="1:13" ht="20.399999999999999" x14ac:dyDescent="0.25">
      <c r="A70" s="15" t="s">
        <v>97</v>
      </c>
      <c r="B70" s="16" t="s">
        <v>20</v>
      </c>
      <c r="C70" s="16" t="s">
        <v>16</v>
      </c>
      <c r="D70" s="21">
        <f t="shared" si="8"/>
        <v>4042.4</v>
      </c>
      <c r="E70" s="8"/>
      <c r="F70" s="8"/>
      <c r="G70" s="8"/>
      <c r="H70" s="34"/>
      <c r="I70" s="21"/>
      <c r="J70" s="19"/>
      <c r="K70" s="26"/>
      <c r="L70" s="21">
        <v>4042.4</v>
      </c>
      <c r="M70" s="40"/>
    </row>
    <row r="71" spans="1:13" ht="23.4" customHeight="1" x14ac:dyDescent="0.25">
      <c r="A71" s="15" t="s">
        <v>115</v>
      </c>
      <c r="B71" s="16" t="s">
        <v>20</v>
      </c>
      <c r="C71" s="16" t="s">
        <v>16</v>
      </c>
      <c r="D71" s="21">
        <f t="shared" si="8"/>
        <v>1590.1</v>
      </c>
      <c r="E71" s="8"/>
      <c r="F71" s="8"/>
      <c r="G71" s="8"/>
      <c r="H71" s="34"/>
      <c r="I71" s="21"/>
      <c r="J71" s="21"/>
      <c r="K71" s="21"/>
      <c r="L71" s="21">
        <v>1590.1</v>
      </c>
      <c r="M71" s="40"/>
    </row>
    <row r="72" spans="1:13" x14ac:dyDescent="0.25">
      <c r="A72" s="40" t="s">
        <v>303</v>
      </c>
      <c r="B72" s="44" t="s">
        <v>20</v>
      </c>
      <c r="C72" s="16" t="s">
        <v>17</v>
      </c>
      <c r="D72" s="21">
        <f t="shared" si="8"/>
        <v>1569.1999999999998</v>
      </c>
      <c r="E72" s="8"/>
      <c r="F72" s="8"/>
      <c r="G72" s="8"/>
      <c r="H72" s="34">
        <f>SUM(H73:H74)</f>
        <v>1569.1999999999998</v>
      </c>
      <c r="I72" s="21"/>
      <c r="J72" s="21"/>
      <c r="K72" s="21"/>
      <c r="L72" s="21"/>
      <c r="M72" s="40"/>
    </row>
    <row r="73" spans="1:13" x14ac:dyDescent="0.25">
      <c r="A73" s="41"/>
      <c r="B73" s="44"/>
      <c r="C73" s="16" t="s">
        <v>18</v>
      </c>
      <c r="D73" s="21">
        <f t="shared" si="8"/>
        <v>1383.6</v>
      </c>
      <c r="E73" s="8"/>
      <c r="F73" s="8"/>
      <c r="G73" s="8"/>
      <c r="H73" s="34">
        <f>1469.8-72.4+5-18.8</f>
        <v>1383.6</v>
      </c>
      <c r="I73" s="21"/>
      <c r="J73" s="21"/>
      <c r="K73" s="21"/>
      <c r="L73" s="21"/>
      <c r="M73" s="40"/>
    </row>
    <row r="74" spans="1:13" x14ac:dyDescent="0.25">
      <c r="A74" s="41"/>
      <c r="B74" s="44"/>
      <c r="C74" s="16" t="s">
        <v>19</v>
      </c>
      <c r="D74" s="21">
        <f t="shared" si="8"/>
        <v>185.6</v>
      </c>
      <c r="E74" s="8"/>
      <c r="F74" s="8"/>
      <c r="G74" s="8"/>
      <c r="H74" s="34">
        <f>120.6+72.4-5-2.4</f>
        <v>185.6</v>
      </c>
      <c r="I74" s="21"/>
      <c r="J74" s="21"/>
      <c r="K74" s="21"/>
      <c r="L74" s="21"/>
      <c r="M74" s="40"/>
    </row>
    <row r="75" spans="1:13" x14ac:dyDescent="0.25">
      <c r="A75" s="40" t="s">
        <v>315</v>
      </c>
      <c r="B75" s="44" t="s">
        <v>20</v>
      </c>
      <c r="C75" s="16" t="s">
        <v>17</v>
      </c>
      <c r="D75" s="21">
        <f t="shared" ref="D75:D77" si="12">SUM(E75:L75)</f>
        <v>126.5</v>
      </c>
      <c r="E75" s="8"/>
      <c r="F75" s="8"/>
      <c r="G75" s="8"/>
      <c r="H75" s="34">
        <f>SUM(H76:H77)</f>
        <v>126.5</v>
      </c>
      <c r="I75" s="21"/>
      <c r="J75" s="21"/>
      <c r="K75" s="21"/>
      <c r="L75" s="21"/>
      <c r="M75" s="40"/>
    </row>
    <row r="76" spans="1:13" x14ac:dyDescent="0.25">
      <c r="A76" s="41"/>
      <c r="B76" s="44"/>
      <c r="C76" s="16" t="s">
        <v>18</v>
      </c>
      <c r="D76" s="21">
        <f t="shared" si="12"/>
        <v>111.5</v>
      </c>
      <c r="E76" s="8"/>
      <c r="F76" s="8"/>
      <c r="G76" s="8"/>
      <c r="H76" s="34">
        <f>116.9-5.4</f>
        <v>111.5</v>
      </c>
      <c r="I76" s="21"/>
      <c r="J76" s="21"/>
      <c r="K76" s="21"/>
      <c r="L76" s="21"/>
      <c r="M76" s="40"/>
    </row>
    <row r="77" spans="1:13" x14ac:dyDescent="0.25">
      <c r="A77" s="41"/>
      <c r="B77" s="44"/>
      <c r="C77" s="16" t="s">
        <v>19</v>
      </c>
      <c r="D77" s="21">
        <f t="shared" si="12"/>
        <v>15</v>
      </c>
      <c r="E77" s="8"/>
      <c r="F77" s="8"/>
      <c r="G77" s="8"/>
      <c r="H77" s="34">
        <f>9.6+5.4</f>
        <v>15</v>
      </c>
      <c r="I77" s="21"/>
      <c r="J77" s="21"/>
      <c r="K77" s="21"/>
      <c r="L77" s="21"/>
      <c r="M77" s="40"/>
    </row>
    <row r="78" spans="1:13" ht="21.6" x14ac:dyDescent="0.25">
      <c r="A78" s="17" t="s">
        <v>186</v>
      </c>
      <c r="B78" s="16"/>
      <c r="C78" s="16"/>
      <c r="D78" s="20"/>
      <c r="E78" s="6"/>
      <c r="F78" s="6"/>
      <c r="G78" s="6"/>
      <c r="H78" s="33"/>
      <c r="I78" s="20"/>
      <c r="J78" s="20"/>
      <c r="K78" s="20"/>
      <c r="L78" s="20"/>
      <c r="M78" s="40"/>
    </row>
    <row r="79" spans="1:13" ht="13.2" customHeight="1" x14ac:dyDescent="0.25">
      <c r="A79" s="42" t="s">
        <v>260</v>
      </c>
      <c r="B79" s="44" t="s">
        <v>20</v>
      </c>
      <c r="C79" s="16" t="s">
        <v>17</v>
      </c>
      <c r="D79" s="20">
        <f>SUM(E79:L79)</f>
        <v>9291.866</v>
      </c>
      <c r="E79" s="7">
        <f>SUM(E80:E81)</f>
        <v>310</v>
      </c>
      <c r="F79" s="7">
        <f t="shared" ref="F79:L79" si="13">SUM(F80:F81)</f>
        <v>1202.4000000000001</v>
      </c>
      <c r="G79" s="7">
        <f t="shared" si="13"/>
        <v>4099.7</v>
      </c>
      <c r="H79" s="32">
        <f t="shared" si="13"/>
        <v>1684.4</v>
      </c>
      <c r="I79" s="19">
        <f t="shared" si="13"/>
        <v>1995.366</v>
      </c>
      <c r="J79" s="19">
        <f t="shared" si="13"/>
        <v>0</v>
      </c>
      <c r="K79" s="19">
        <f t="shared" si="13"/>
        <v>0</v>
      </c>
      <c r="L79" s="19">
        <f t="shared" si="13"/>
        <v>0</v>
      </c>
      <c r="M79" s="50" t="s">
        <v>134</v>
      </c>
    </row>
    <row r="80" spans="1:13" x14ac:dyDescent="0.25">
      <c r="A80" s="42"/>
      <c r="B80" s="44"/>
      <c r="C80" s="16" t="s">
        <v>18</v>
      </c>
      <c r="D80" s="20">
        <f>SUM(E80:L80)</f>
        <v>4933.2</v>
      </c>
      <c r="E80" s="6">
        <f>SUMIFS(E82:E120,$C82:$C120,$C80)</f>
        <v>0</v>
      </c>
      <c r="F80" s="6">
        <f t="shared" ref="F80:L80" si="14">SUMIFS(F82:F120,$C82:$C120,$C80)</f>
        <v>789.1</v>
      </c>
      <c r="G80" s="6">
        <f t="shared" si="14"/>
        <v>3859.7999999999997</v>
      </c>
      <c r="H80" s="33">
        <f t="shared" si="14"/>
        <v>284.30000000000007</v>
      </c>
      <c r="I80" s="20">
        <f t="shared" si="14"/>
        <v>0</v>
      </c>
      <c r="J80" s="20">
        <f t="shared" si="14"/>
        <v>0</v>
      </c>
      <c r="K80" s="20">
        <f t="shared" si="14"/>
        <v>0</v>
      </c>
      <c r="L80" s="20">
        <f t="shared" si="14"/>
        <v>0</v>
      </c>
      <c r="M80" s="50"/>
    </row>
    <row r="81" spans="1:13" x14ac:dyDescent="0.25">
      <c r="A81" s="42"/>
      <c r="B81" s="44"/>
      <c r="C81" s="16" t="s">
        <v>19</v>
      </c>
      <c r="D81" s="20">
        <f>SUM(E81:L81)</f>
        <v>4358.6660000000002</v>
      </c>
      <c r="E81" s="6">
        <f>SUMIFS(E82:E120,$C82:$C120,$C81)</f>
        <v>310</v>
      </c>
      <c r="F81" s="6">
        <f t="shared" ref="F81:L81" si="15">SUMIFS(F82:F120,$C82:$C120,$C81)</f>
        <v>413.3</v>
      </c>
      <c r="G81" s="6">
        <f t="shared" si="15"/>
        <v>239.90000000000003</v>
      </c>
      <c r="H81" s="33">
        <f t="shared" si="15"/>
        <v>1400.1</v>
      </c>
      <c r="I81" s="20">
        <f t="shared" si="15"/>
        <v>1995.366</v>
      </c>
      <c r="J81" s="20">
        <f t="shared" si="15"/>
        <v>0</v>
      </c>
      <c r="K81" s="20">
        <f t="shared" si="15"/>
        <v>0</v>
      </c>
      <c r="L81" s="20">
        <f t="shared" si="15"/>
        <v>0</v>
      </c>
      <c r="M81" s="50"/>
    </row>
    <row r="82" spans="1:13" ht="30.6" x14ac:dyDescent="0.25">
      <c r="A82" s="15" t="s">
        <v>98</v>
      </c>
      <c r="B82" s="16" t="s">
        <v>20</v>
      </c>
      <c r="C82" s="16" t="s">
        <v>16</v>
      </c>
      <c r="D82" s="21">
        <f>SUM(E82:L82)</f>
        <v>310</v>
      </c>
      <c r="E82" s="8">
        <f>311.3-1.3</f>
        <v>310</v>
      </c>
      <c r="F82" s="8"/>
      <c r="G82" s="8"/>
      <c r="H82" s="34"/>
      <c r="I82" s="21"/>
      <c r="J82" s="21"/>
      <c r="K82" s="21"/>
      <c r="L82" s="21"/>
      <c r="M82" s="50"/>
    </row>
    <row r="83" spans="1:13" ht="30.6" x14ac:dyDescent="0.25">
      <c r="A83" s="15" t="s">
        <v>99</v>
      </c>
      <c r="B83" s="16" t="s">
        <v>20</v>
      </c>
      <c r="C83" s="16" t="s">
        <v>46</v>
      </c>
      <c r="D83" s="21">
        <f>SUM(E83:L83)</f>
        <v>621.20000000000005</v>
      </c>
      <c r="E83" s="8"/>
      <c r="F83" s="8">
        <f>626.1-4.9</f>
        <v>621.20000000000005</v>
      </c>
      <c r="G83" s="8"/>
      <c r="H83" s="34"/>
      <c r="I83" s="21"/>
      <c r="J83" s="21"/>
      <c r="K83" s="21"/>
      <c r="L83" s="21"/>
      <c r="M83" s="50"/>
    </row>
    <row r="84" spans="1:13" ht="20.399999999999999" x14ac:dyDescent="0.25">
      <c r="A84" s="15" t="s">
        <v>187</v>
      </c>
      <c r="B84" s="16"/>
      <c r="C84" s="16"/>
      <c r="D84" s="21"/>
      <c r="E84" s="8"/>
      <c r="F84" s="8"/>
      <c r="G84" s="8"/>
      <c r="H84" s="34"/>
      <c r="I84" s="21"/>
      <c r="J84" s="21"/>
      <c r="K84" s="21"/>
      <c r="L84" s="21"/>
      <c r="M84" s="50"/>
    </row>
    <row r="85" spans="1:13" ht="20.399999999999999" x14ac:dyDescent="0.25">
      <c r="A85" s="15" t="s">
        <v>188</v>
      </c>
      <c r="B85" s="16"/>
      <c r="C85" s="16"/>
      <c r="D85" s="21"/>
      <c r="E85" s="8"/>
      <c r="F85" s="8"/>
      <c r="G85" s="8"/>
      <c r="H85" s="34"/>
      <c r="I85" s="21"/>
      <c r="J85" s="21"/>
      <c r="K85" s="21"/>
      <c r="L85" s="21"/>
      <c r="M85" s="50"/>
    </row>
    <row r="86" spans="1:13" ht="20.399999999999999" x14ac:dyDescent="0.25">
      <c r="A86" s="15" t="s">
        <v>189</v>
      </c>
      <c r="B86" s="16"/>
      <c r="C86" s="16"/>
      <c r="D86" s="21"/>
      <c r="E86" s="8"/>
      <c r="F86" s="8"/>
      <c r="G86" s="8"/>
      <c r="H86" s="34"/>
      <c r="I86" s="21"/>
      <c r="J86" s="21"/>
      <c r="K86" s="21"/>
      <c r="L86" s="21"/>
      <c r="M86" s="50"/>
    </row>
    <row r="87" spans="1:13" x14ac:dyDescent="0.25">
      <c r="A87" s="40" t="s">
        <v>128</v>
      </c>
      <c r="B87" s="44" t="s">
        <v>20</v>
      </c>
      <c r="C87" s="16" t="s">
        <v>17</v>
      </c>
      <c r="D87" s="21">
        <f t="shared" ref="D87:D108" si="16">SUM(E87:L87)</f>
        <v>581.20000000000005</v>
      </c>
      <c r="E87" s="8"/>
      <c r="F87" s="11">
        <f>SUM(F88:F89)</f>
        <v>581.20000000000005</v>
      </c>
      <c r="G87" s="8"/>
      <c r="H87" s="34"/>
      <c r="I87" s="21"/>
      <c r="J87" s="21"/>
      <c r="K87" s="21"/>
      <c r="L87" s="21"/>
      <c r="M87" s="50"/>
    </row>
    <row r="88" spans="1:13" x14ac:dyDescent="0.25">
      <c r="A88" s="40"/>
      <c r="B88" s="44"/>
      <c r="C88" s="16" t="s">
        <v>18</v>
      </c>
      <c r="D88" s="21">
        <f t="shared" si="16"/>
        <v>167.9</v>
      </c>
      <c r="E88" s="8"/>
      <c r="F88" s="8">
        <v>167.9</v>
      </c>
      <c r="G88" s="8"/>
      <c r="H88" s="34"/>
      <c r="I88" s="21"/>
      <c r="J88" s="21"/>
      <c r="K88" s="21"/>
      <c r="L88" s="21"/>
      <c r="M88" s="50"/>
    </row>
    <row r="89" spans="1:13" x14ac:dyDescent="0.25">
      <c r="A89" s="40"/>
      <c r="B89" s="44"/>
      <c r="C89" s="16" t="s">
        <v>19</v>
      </c>
      <c r="D89" s="21">
        <f t="shared" si="16"/>
        <v>413.3</v>
      </c>
      <c r="E89" s="8"/>
      <c r="F89" s="8">
        <v>413.3</v>
      </c>
      <c r="G89" s="8"/>
      <c r="H89" s="34"/>
      <c r="I89" s="21"/>
      <c r="J89" s="21"/>
      <c r="K89" s="21"/>
      <c r="L89" s="21"/>
      <c r="M89" s="50"/>
    </row>
    <row r="90" spans="1:13" x14ac:dyDescent="0.25">
      <c r="A90" s="40" t="s">
        <v>171</v>
      </c>
      <c r="B90" s="44" t="s">
        <v>20</v>
      </c>
      <c r="C90" s="16" t="s">
        <v>17</v>
      </c>
      <c r="D90" s="21">
        <f t="shared" si="16"/>
        <v>1126.8000000000002</v>
      </c>
      <c r="E90" s="8"/>
      <c r="F90" s="7"/>
      <c r="G90" s="11">
        <f>SUM(G91:G92)</f>
        <v>1126.8000000000002</v>
      </c>
      <c r="H90" s="34"/>
      <c r="I90" s="21"/>
      <c r="J90" s="21"/>
      <c r="K90" s="21"/>
      <c r="L90" s="21"/>
      <c r="M90" s="50"/>
    </row>
    <row r="91" spans="1:13" x14ac:dyDescent="0.25">
      <c r="A91" s="40"/>
      <c r="B91" s="44"/>
      <c r="C91" s="16" t="s">
        <v>18</v>
      </c>
      <c r="D91" s="21">
        <f t="shared" si="16"/>
        <v>1060.9000000000001</v>
      </c>
      <c r="E91" s="8"/>
      <c r="F91" s="8"/>
      <c r="G91" s="8">
        <v>1060.9000000000001</v>
      </c>
      <c r="H91" s="34"/>
      <c r="I91" s="21"/>
      <c r="J91" s="21"/>
      <c r="K91" s="21"/>
      <c r="L91" s="21"/>
      <c r="M91" s="50"/>
    </row>
    <row r="92" spans="1:13" x14ac:dyDescent="0.25">
      <c r="A92" s="40"/>
      <c r="B92" s="44"/>
      <c r="C92" s="16" t="s">
        <v>19</v>
      </c>
      <c r="D92" s="21">
        <f t="shared" si="16"/>
        <v>65.900000000000006</v>
      </c>
      <c r="E92" s="8"/>
      <c r="F92" s="8"/>
      <c r="G92" s="8">
        <v>65.900000000000006</v>
      </c>
      <c r="H92" s="34"/>
      <c r="I92" s="21"/>
      <c r="J92" s="21"/>
      <c r="K92" s="21"/>
      <c r="L92" s="21"/>
      <c r="M92" s="50"/>
    </row>
    <row r="93" spans="1:13" x14ac:dyDescent="0.25">
      <c r="A93" s="40" t="s">
        <v>172</v>
      </c>
      <c r="B93" s="44" t="s">
        <v>20</v>
      </c>
      <c r="C93" s="16" t="s">
        <v>17</v>
      </c>
      <c r="D93" s="21">
        <f t="shared" si="16"/>
        <v>272</v>
      </c>
      <c r="E93" s="8"/>
      <c r="F93" s="7"/>
      <c r="G93" s="11">
        <f>SUM(G94:G95)</f>
        <v>272</v>
      </c>
      <c r="H93" s="34"/>
      <c r="I93" s="21"/>
      <c r="J93" s="21"/>
      <c r="K93" s="21"/>
      <c r="L93" s="21"/>
      <c r="M93" s="50"/>
    </row>
    <row r="94" spans="1:13" x14ac:dyDescent="0.25">
      <c r="A94" s="40"/>
      <c r="B94" s="44"/>
      <c r="C94" s="16" t="s">
        <v>18</v>
      </c>
      <c r="D94" s="21">
        <f t="shared" si="16"/>
        <v>256.10000000000002</v>
      </c>
      <c r="E94" s="8"/>
      <c r="F94" s="8"/>
      <c r="G94" s="8">
        <v>256.10000000000002</v>
      </c>
      <c r="H94" s="34"/>
      <c r="I94" s="21"/>
      <c r="J94" s="21"/>
      <c r="K94" s="21"/>
      <c r="L94" s="21"/>
      <c r="M94" s="50"/>
    </row>
    <row r="95" spans="1:13" x14ac:dyDescent="0.25">
      <c r="A95" s="40"/>
      <c r="B95" s="44"/>
      <c r="C95" s="16" t="s">
        <v>19</v>
      </c>
      <c r="D95" s="21">
        <f t="shared" si="16"/>
        <v>15.9</v>
      </c>
      <c r="E95" s="8"/>
      <c r="F95" s="8"/>
      <c r="G95" s="8">
        <v>15.9</v>
      </c>
      <c r="H95" s="34"/>
      <c r="I95" s="21"/>
      <c r="J95" s="21"/>
      <c r="K95" s="21"/>
      <c r="L95" s="21"/>
      <c r="M95" s="50"/>
    </row>
    <row r="96" spans="1:13" x14ac:dyDescent="0.25">
      <c r="A96" s="40" t="s">
        <v>173</v>
      </c>
      <c r="B96" s="44" t="s">
        <v>20</v>
      </c>
      <c r="C96" s="16" t="s">
        <v>17</v>
      </c>
      <c r="D96" s="21">
        <f t="shared" si="16"/>
        <v>1048.0999999999999</v>
      </c>
      <c r="E96" s="8"/>
      <c r="F96" s="7"/>
      <c r="G96" s="11">
        <f>SUM(G97:G98)</f>
        <v>1048.0999999999999</v>
      </c>
      <c r="H96" s="34"/>
      <c r="I96" s="21"/>
      <c r="J96" s="21"/>
      <c r="K96" s="21"/>
      <c r="L96" s="21"/>
      <c r="M96" s="50"/>
    </row>
    <row r="97" spans="1:13" x14ac:dyDescent="0.25">
      <c r="A97" s="40"/>
      <c r="B97" s="44"/>
      <c r="C97" s="16" t="s">
        <v>18</v>
      </c>
      <c r="D97" s="21">
        <f t="shared" si="16"/>
        <v>986.8</v>
      </c>
      <c r="E97" s="8"/>
      <c r="F97" s="8"/>
      <c r="G97" s="8">
        <v>986.8</v>
      </c>
      <c r="H97" s="34"/>
      <c r="I97" s="21"/>
      <c r="J97" s="21"/>
      <c r="K97" s="21"/>
      <c r="L97" s="21"/>
      <c r="M97" s="50"/>
    </row>
    <row r="98" spans="1:13" x14ac:dyDescent="0.25">
      <c r="A98" s="40"/>
      <c r="B98" s="44"/>
      <c r="C98" s="16" t="s">
        <v>19</v>
      </c>
      <c r="D98" s="21">
        <f t="shared" si="16"/>
        <v>61.3</v>
      </c>
      <c r="E98" s="8"/>
      <c r="F98" s="8"/>
      <c r="G98" s="8">
        <v>61.3</v>
      </c>
      <c r="H98" s="34"/>
      <c r="I98" s="21"/>
      <c r="J98" s="21"/>
      <c r="K98" s="21"/>
      <c r="L98" s="21"/>
      <c r="M98" s="50"/>
    </row>
    <row r="99" spans="1:13" x14ac:dyDescent="0.25">
      <c r="A99" s="40" t="s">
        <v>174</v>
      </c>
      <c r="B99" s="44" t="s">
        <v>20</v>
      </c>
      <c r="C99" s="16" t="s">
        <v>17</v>
      </c>
      <c r="D99" s="21">
        <f t="shared" si="16"/>
        <v>170.5</v>
      </c>
      <c r="E99" s="8"/>
      <c r="F99" s="7"/>
      <c r="G99" s="11">
        <f>SUM(G100:G101)</f>
        <v>170.5</v>
      </c>
      <c r="H99" s="34"/>
      <c r="I99" s="21"/>
      <c r="J99" s="21"/>
      <c r="K99" s="21"/>
      <c r="L99" s="21"/>
      <c r="M99" s="50"/>
    </row>
    <row r="100" spans="1:13" ht="13.8" customHeight="1" x14ac:dyDescent="0.25">
      <c r="A100" s="40"/>
      <c r="B100" s="44"/>
      <c r="C100" s="16" t="s">
        <v>18</v>
      </c>
      <c r="D100" s="21">
        <f t="shared" si="16"/>
        <v>160.5</v>
      </c>
      <c r="E100" s="8"/>
      <c r="F100" s="8"/>
      <c r="G100" s="8">
        <v>160.5</v>
      </c>
      <c r="H100" s="34"/>
      <c r="I100" s="21"/>
      <c r="J100" s="21"/>
      <c r="K100" s="21"/>
      <c r="L100" s="21"/>
      <c r="M100" s="50"/>
    </row>
    <row r="101" spans="1:13" x14ac:dyDescent="0.25">
      <c r="A101" s="40"/>
      <c r="B101" s="44"/>
      <c r="C101" s="16" t="s">
        <v>19</v>
      </c>
      <c r="D101" s="21">
        <f t="shared" si="16"/>
        <v>10</v>
      </c>
      <c r="E101" s="8"/>
      <c r="F101" s="8"/>
      <c r="G101" s="8">
        <v>10</v>
      </c>
      <c r="H101" s="34"/>
      <c r="I101" s="21"/>
      <c r="J101" s="21"/>
      <c r="K101" s="21"/>
      <c r="L101" s="21"/>
      <c r="M101" s="50"/>
    </row>
    <row r="102" spans="1:13" ht="13.8" customHeight="1" x14ac:dyDescent="0.25">
      <c r="A102" s="40" t="s">
        <v>175</v>
      </c>
      <c r="B102" s="44" t="s">
        <v>20</v>
      </c>
      <c r="C102" s="16" t="s">
        <v>17</v>
      </c>
      <c r="D102" s="21">
        <f t="shared" si="16"/>
        <v>424.59999999999997</v>
      </c>
      <c r="E102" s="8"/>
      <c r="F102" s="7"/>
      <c r="G102" s="11">
        <f>SUM(G103:G104)</f>
        <v>424.59999999999997</v>
      </c>
      <c r="H102" s="34"/>
      <c r="I102" s="21"/>
      <c r="J102" s="21"/>
      <c r="K102" s="21"/>
      <c r="L102" s="21"/>
      <c r="M102" s="50"/>
    </row>
    <row r="103" spans="1:13" x14ac:dyDescent="0.25">
      <c r="A103" s="40"/>
      <c r="B103" s="44"/>
      <c r="C103" s="16" t="s">
        <v>18</v>
      </c>
      <c r="D103" s="21">
        <f t="shared" si="16"/>
        <v>399.7</v>
      </c>
      <c r="E103" s="8"/>
      <c r="F103" s="8"/>
      <c r="G103" s="8">
        <v>399.7</v>
      </c>
      <c r="H103" s="34"/>
      <c r="I103" s="21"/>
      <c r="J103" s="21"/>
      <c r="K103" s="21"/>
      <c r="L103" s="21"/>
      <c r="M103" s="50"/>
    </row>
    <row r="104" spans="1:13" ht="28.2" customHeight="1" x14ac:dyDescent="0.25">
      <c r="A104" s="40"/>
      <c r="B104" s="44"/>
      <c r="C104" s="16" t="s">
        <v>19</v>
      </c>
      <c r="D104" s="21">
        <f t="shared" si="16"/>
        <v>24.9</v>
      </c>
      <c r="E104" s="8"/>
      <c r="F104" s="8"/>
      <c r="G104" s="8">
        <v>24.9</v>
      </c>
      <c r="H104" s="34"/>
      <c r="I104" s="21"/>
      <c r="J104" s="21"/>
      <c r="K104" s="21"/>
      <c r="L104" s="21"/>
      <c r="M104" s="50"/>
    </row>
    <row r="105" spans="1:13" x14ac:dyDescent="0.25">
      <c r="A105" s="40" t="s">
        <v>177</v>
      </c>
      <c r="B105" s="44" t="s">
        <v>20</v>
      </c>
      <c r="C105" s="16" t="s">
        <v>17</v>
      </c>
      <c r="D105" s="21">
        <f t="shared" si="16"/>
        <v>648.1</v>
      </c>
      <c r="E105" s="8"/>
      <c r="F105" s="7"/>
      <c r="G105" s="11">
        <f>SUM(G106:G107)</f>
        <v>648.1</v>
      </c>
      <c r="H105" s="34"/>
      <c r="I105" s="21"/>
      <c r="J105" s="21"/>
      <c r="K105" s="21"/>
      <c r="L105" s="21"/>
      <c r="M105" s="50"/>
    </row>
    <row r="106" spans="1:13" ht="15.6" customHeight="1" x14ac:dyDescent="0.25">
      <c r="A106" s="40"/>
      <c r="B106" s="44"/>
      <c r="C106" s="16" t="s">
        <v>18</v>
      </c>
      <c r="D106" s="21">
        <f t="shared" si="16"/>
        <v>610.20000000000005</v>
      </c>
      <c r="E106" s="8"/>
      <c r="F106" s="8"/>
      <c r="G106" s="8">
        <v>610.20000000000005</v>
      </c>
      <c r="H106" s="34"/>
      <c r="I106" s="21"/>
      <c r="J106" s="21"/>
      <c r="K106" s="21"/>
      <c r="L106" s="21"/>
      <c r="M106" s="50"/>
    </row>
    <row r="107" spans="1:13" x14ac:dyDescent="0.25">
      <c r="A107" s="40"/>
      <c r="B107" s="44"/>
      <c r="C107" s="16" t="s">
        <v>19</v>
      </c>
      <c r="D107" s="21">
        <f t="shared" si="16"/>
        <v>37.9</v>
      </c>
      <c r="E107" s="8"/>
      <c r="F107" s="8"/>
      <c r="G107" s="8">
        <v>37.9</v>
      </c>
      <c r="H107" s="34"/>
      <c r="I107" s="21"/>
      <c r="J107" s="21"/>
      <c r="K107" s="21"/>
      <c r="L107" s="21"/>
      <c r="M107" s="50"/>
    </row>
    <row r="108" spans="1:13" x14ac:dyDescent="0.25">
      <c r="A108" s="40" t="s">
        <v>178</v>
      </c>
      <c r="B108" s="44" t="s">
        <v>20</v>
      </c>
      <c r="C108" s="16" t="s">
        <v>17</v>
      </c>
      <c r="D108" s="21">
        <f t="shared" si="16"/>
        <v>409.6</v>
      </c>
      <c r="E108" s="8"/>
      <c r="F108" s="7"/>
      <c r="G108" s="11">
        <f>SUM(G109:G110)</f>
        <v>409.6</v>
      </c>
      <c r="H108" s="34"/>
      <c r="I108" s="21"/>
      <c r="J108" s="21"/>
      <c r="K108" s="21"/>
      <c r="L108" s="21"/>
      <c r="M108" s="50"/>
    </row>
    <row r="109" spans="1:13" ht="14.4" customHeight="1" x14ac:dyDescent="0.25">
      <c r="A109" s="40"/>
      <c r="B109" s="44"/>
      <c r="C109" s="16" t="s">
        <v>18</v>
      </c>
      <c r="D109" s="21">
        <f t="shared" ref="D109" si="17">SUM(E109:L109)</f>
        <v>385.6</v>
      </c>
      <c r="E109" s="8"/>
      <c r="F109" s="8"/>
      <c r="G109" s="8">
        <v>385.6</v>
      </c>
      <c r="H109" s="34"/>
      <c r="I109" s="21"/>
      <c r="J109" s="21"/>
      <c r="K109" s="21"/>
      <c r="L109" s="21"/>
      <c r="M109" s="50"/>
    </row>
    <row r="110" spans="1:13" x14ac:dyDescent="0.25">
      <c r="A110" s="40"/>
      <c r="B110" s="44"/>
      <c r="C110" s="16" t="s">
        <v>19</v>
      </c>
      <c r="D110" s="21">
        <f t="shared" ref="D110:D124" si="18">SUM(E110:L110)</f>
        <v>24</v>
      </c>
      <c r="E110" s="8"/>
      <c r="F110" s="8"/>
      <c r="G110" s="8">
        <v>24</v>
      </c>
      <c r="H110" s="34"/>
      <c r="I110" s="21"/>
      <c r="J110" s="21"/>
      <c r="K110" s="21"/>
      <c r="L110" s="21"/>
      <c r="M110" s="50"/>
    </row>
    <row r="111" spans="1:13" ht="30" customHeight="1" x14ac:dyDescent="0.25">
      <c r="A111" s="15" t="s">
        <v>269</v>
      </c>
      <c r="B111" s="16" t="s">
        <v>20</v>
      </c>
      <c r="C111" s="16" t="s">
        <v>16</v>
      </c>
      <c r="D111" s="21">
        <f t="shared" si="18"/>
        <v>554</v>
      </c>
      <c r="E111" s="8"/>
      <c r="F111" s="8"/>
      <c r="G111" s="8"/>
      <c r="H111" s="34">
        <f>572.3-18.3</f>
        <v>554</v>
      </c>
      <c r="I111" s="21"/>
      <c r="J111" s="21"/>
      <c r="K111" s="21"/>
      <c r="L111" s="21"/>
      <c r="M111" s="50"/>
    </row>
    <row r="112" spans="1:13" ht="37.799999999999997" customHeight="1" x14ac:dyDescent="0.25">
      <c r="A112" s="15" t="s">
        <v>270</v>
      </c>
      <c r="B112" s="16" t="s">
        <v>20</v>
      </c>
      <c r="C112" s="16" t="s">
        <v>16</v>
      </c>
      <c r="D112" s="21">
        <f t="shared" si="18"/>
        <v>119.8</v>
      </c>
      <c r="E112" s="8"/>
      <c r="F112" s="8"/>
      <c r="G112" s="8"/>
      <c r="H112" s="34">
        <f>120.1-0.3</f>
        <v>119.8</v>
      </c>
      <c r="I112" s="21"/>
      <c r="J112" s="21"/>
      <c r="K112" s="21"/>
      <c r="L112" s="21"/>
      <c r="M112" s="50"/>
    </row>
    <row r="113" spans="1:13" ht="25.8" customHeight="1" x14ac:dyDescent="0.25">
      <c r="A113" s="15" t="s">
        <v>271</v>
      </c>
      <c r="B113" s="16" t="s">
        <v>20</v>
      </c>
      <c r="C113" s="16" t="s">
        <v>16</v>
      </c>
      <c r="D113" s="21">
        <f t="shared" si="18"/>
        <v>688.19999999999993</v>
      </c>
      <c r="E113" s="8"/>
      <c r="F113" s="8"/>
      <c r="G113" s="8"/>
      <c r="H113" s="34">
        <f>689.8-1.6</f>
        <v>688.19999999999993</v>
      </c>
      <c r="I113" s="21"/>
      <c r="J113" s="21"/>
      <c r="K113" s="21"/>
      <c r="L113" s="21"/>
      <c r="M113" s="50"/>
    </row>
    <row r="114" spans="1:13" ht="13.2" customHeight="1" x14ac:dyDescent="0.25">
      <c r="A114" s="40" t="s">
        <v>316</v>
      </c>
      <c r="B114" s="44" t="s">
        <v>20</v>
      </c>
      <c r="C114" s="16" t="s">
        <v>17</v>
      </c>
      <c r="D114" s="21">
        <f t="shared" ref="D114:D116" si="19">SUM(E114:L114)</f>
        <v>190.40000000000003</v>
      </c>
      <c r="E114" s="8"/>
      <c r="F114" s="7"/>
      <c r="G114" s="11"/>
      <c r="H114" s="34">
        <f>SUM(H115:H116)</f>
        <v>190.40000000000003</v>
      </c>
      <c r="I114" s="21"/>
      <c r="J114" s="21"/>
      <c r="K114" s="21"/>
      <c r="L114" s="21"/>
      <c r="M114" s="50"/>
    </row>
    <row r="115" spans="1:13" ht="13.8" customHeight="1" x14ac:dyDescent="0.25">
      <c r="A115" s="40"/>
      <c r="B115" s="44"/>
      <c r="C115" s="16" t="s">
        <v>18</v>
      </c>
      <c r="D115" s="21">
        <f t="shared" si="19"/>
        <v>167.90000000000003</v>
      </c>
      <c r="E115" s="8"/>
      <c r="F115" s="8"/>
      <c r="G115" s="8"/>
      <c r="H115" s="34">
        <f>156.3-7.2+18.8</f>
        <v>167.90000000000003</v>
      </c>
      <c r="I115" s="21"/>
      <c r="J115" s="21"/>
      <c r="K115" s="21"/>
      <c r="L115" s="21"/>
      <c r="M115" s="50"/>
    </row>
    <row r="116" spans="1:13" x14ac:dyDescent="0.25">
      <c r="A116" s="40"/>
      <c r="B116" s="44"/>
      <c r="C116" s="16" t="s">
        <v>19</v>
      </c>
      <c r="D116" s="21">
        <f t="shared" si="19"/>
        <v>22.5</v>
      </c>
      <c r="E116" s="8"/>
      <c r="F116" s="8"/>
      <c r="G116" s="8"/>
      <c r="H116" s="34">
        <f>12.8+7.2+2.5</f>
        <v>22.5</v>
      </c>
      <c r="I116" s="21"/>
      <c r="J116" s="21"/>
      <c r="K116" s="21"/>
      <c r="L116" s="21"/>
      <c r="M116" s="50"/>
    </row>
    <row r="117" spans="1:13" ht="13.2" customHeight="1" x14ac:dyDescent="0.25">
      <c r="A117" s="40" t="s">
        <v>317</v>
      </c>
      <c r="B117" s="44" t="s">
        <v>20</v>
      </c>
      <c r="C117" s="16" t="s">
        <v>17</v>
      </c>
      <c r="D117" s="21">
        <f t="shared" ref="D117:D119" si="20">SUM(E117:L117)</f>
        <v>132</v>
      </c>
      <c r="E117" s="8"/>
      <c r="F117" s="7"/>
      <c r="G117" s="11"/>
      <c r="H117" s="34">
        <f>SUM(H118:H119)</f>
        <v>132</v>
      </c>
      <c r="I117" s="21"/>
      <c r="J117" s="21"/>
      <c r="K117" s="21"/>
      <c r="L117" s="21"/>
      <c r="M117" s="50"/>
    </row>
    <row r="118" spans="1:13" x14ac:dyDescent="0.25">
      <c r="A118" s="40"/>
      <c r="B118" s="44"/>
      <c r="C118" s="16" t="s">
        <v>18</v>
      </c>
      <c r="D118" s="21">
        <f t="shared" si="20"/>
        <v>116.4</v>
      </c>
      <c r="E118" s="8"/>
      <c r="F118" s="8"/>
      <c r="G118" s="8"/>
      <c r="H118" s="34">
        <f>103.2+13.2</f>
        <v>116.4</v>
      </c>
      <c r="I118" s="21"/>
      <c r="J118" s="21"/>
      <c r="K118" s="21"/>
      <c r="L118" s="21"/>
      <c r="M118" s="50"/>
    </row>
    <row r="119" spans="1:13" x14ac:dyDescent="0.25">
      <c r="A119" s="40"/>
      <c r="B119" s="44"/>
      <c r="C119" s="16" t="s">
        <v>19</v>
      </c>
      <c r="D119" s="21">
        <f t="shared" si="20"/>
        <v>15.600000000000001</v>
      </c>
      <c r="E119" s="8"/>
      <c r="F119" s="8"/>
      <c r="G119" s="8"/>
      <c r="H119" s="34">
        <f>28.8-13.2</f>
        <v>15.600000000000001</v>
      </c>
      <c r="I119" s="21"/>
      <c r="J119" s="21"/>
      <c r="K119" s="21"/>
      <c r="L119" s="21"/>
      <c r="M119" s="50"/>
    </row>
    <row r="120" spans="1:13" ht="40.799999999999997" x14ac:dyDescent="0.25">
      <c r="A120" s="15" t="s">
        <v>329</v>
      </c>
      <c r="B120" s="16"/>
      <c r="C120" s="16" t="s">
        <v>16</v>
      </c>
      <c r="D120" s="21">
        <f t="shared" ref="D120" si="21">SUM(E120:L120)</f>
        <v>1995.366</v>
      </c>
      <c r="E120" s="8"/>
      <c r="F120" s="8"/>
      <c r="G120" s="8"/>
      <c r="H120" s="34"/>
      <c r="I120" s="21">
        <v>1995.366</v>
      </c>
      <c r="J120" s="21"/>
      <c r="K120" s="21"/>
      <c r="L120" s="21"/>
      <c r="M120" s="50"/>
    </row>
    <row r="121" spans="1:13" x14ac:dyDescent="0.25">
      <c r="A121" s="42" t="s">
        <v>49</v>
      </c>
      <c r="B121" s="44" t="s">
        <v>20</v>
      </c>
      <c r="C121" s="16" t="s">
        <v>17</v>
      </c>
      <c r="D121" s="20">
        <f t="shared" si="18"/>
        <v>7515.2872000000007</v>
      </c>
      <c r="E121" s="7">
        <f>SUM(E122:E123)</f>
        <v>900.1</v>
      </c>
      <c r="F121" s="7">
        <f t="shared" ref="F121:L121" si="22">SUM(F122:F123)</f>
        <v>835.8</v>
      </c>
      <c r="G121" s="7">
        <f t="shared" si="22"/>
        <v>0</v>
      </c>
      <c r="H121" s="32">
        <f t="shared" si="22"/>
        <v>0</v>
      </c>
      <c r="I121" s="19">
        <f t="shared" si="22"/>
        <v>0</v>
      </c>
      <c r="J121" s="19">
        <f t="shared" si="22"/>
        <v>0</v>
      </c>
      <c r="K121" s="19">
        <f t="shared" si="22"/>
        <v>0</v>
      </c>
      <c r="L121" s="19">
        <f t="shared" si="22"/>
        <v>5779.3872000000001</v>
      </c>
      <c r="M121" s="51" t="s">
        <v>135</v>
      </c>
    </row>
    <row r="122" spans="1:13" x14ac:dyDescent="0.25">
      <c r="A122" s="42"/>
      <c r="B122" s="44"/>
      <c r="C122" s="16" t="s">
        <v>18</v>
      </c>
      <c r="D122" s="20">
        <f t="shared" si="18"/>
        <v>286.8</v>
      </c>
      <c r="E122" s="6">
        <f>SUMIFS(E124:E140,$C124:$C140,$C122)</f>
        <v>0</v>
      </c>
      <c r="F122" s="6">
        <f t="shared" ref="F122:L122" si="23">SUMIFS(F124:F140,$C124:$C140,$C122)</f>
        <v>286.8</v>
      </c>
      <c r="G122" s="6">
        <f t="shared" si="23"/>
        <v>0</v>
      </c>
      <c r="H122" s="33">
        <f t="shared" si="23"/>
        <v>0</v>
      </c>
      <c r="I122" s="20">
        <f t="shared" si="23"/>
        <v>0</v>
      </c>
      <c r="J122" s="20">
        <f t="shared" si="23"/>
        <v>0</v>
      </c>
      <c r="K122" s="20">
        <f t="shared" si="23"/>
        <v>0</v>
      </c>
      <c r="L122" s="20">
        <f t="shared" si="23"/>
        <v>0</v>
      </c>
      <c r="M122" s="52"/>
    </row>
    <row r="123" spans="1:13" x14ac:dyDescent="0.25">
      <c r="A123" s="42"/>
      <c r="B123" s="44"/>
      <c r="C123" s="16" t="s">
        <v>19</v>
      </c>
      <c r="D123" s="20">
        <f t="shared" si="18"/>
        <v>7228.4871999999996</v>
      </c>
      <c r="E123" s="6">
        <f>SUMIFS(E124:E140,$C124:$C140,$C123)</f>
        <v>900.1</v>
      </c>
      <c r="F123" s="6">
        <f t="shared" ref="F123:L123" si="24">SUMIFS(F124:F140,$C124:$C140,$C123)</f>
        <v>549</v>
      </c>
      <c r="G123" s="6">
        <f t="shared" si="24"/>
        <v>0</v>
      </c>
      <c r="H123" s="33">
        <f t="shared" si="24"/>
        <v>0</v>
      </c>
      <c r="I123" s="20">
        <f t="shared" si="24"/>
        <v>0</v>
      </c>
      <c r="J123" s="20">
        <f t="shared" si="24"/>
        <v>0</v>
      </c>
      <c r="K123" s="20">
        <f t="shared" si="24"/>
        <v>0</v>
      </c>
      <c r="L123" s="20">
        <f t="shared" si="24"/>
        <v>5779.3872000000001</v>
      </c>
      <c r="M123" s="52"/>
    </row>
    <row r="124" spans="1:13" x14ac:dyDescent="0.25">
      <c r="A124" s="15" t="s">
        <v>346</v>
      </c>
      <c r="B124" s="16" t="s">
        <v>20</v>
      </c>
      <c r="C124" s="16" t="s">
        <v>16</v>
      </c>
      <c r="D124" s="21">
        <f t="shared" si="18"/>
        <v>1501.5588</v>
      </c>
      <c r="E124" s="8"/>
      <c r="F124" s="8"/>
      <c r="G124" s="8"/>
      <c r="H124" s="34"/>
      <c r="I124" s="21"/>
      <c r="J124" s="21"/>
      <c r="K124" s="21"/>
      <c r="L124" s="21">
        <v>1501.5588</v>
      </c>
      <c r="M124" s="52"/>
    </row>
    <row r="125" spans="1:13" x14ac:dyDescent="0.25">
      <c r="A125" s="15" t="s">
        <v>345</v>
      </c>
      <c r="B125" s="16" t="s">
        <v>20</v>
      </c>
      <c r="C125" s="16" t="s">
        <v>16</v>
      </c>
      <c r="D125" s="21">
        <f t="shared" ref="D125:D139" si="25">SUM(E125:L125)</f>
        <v>620.51279999999997</v>
      </c>
      <c r="E125" s="8"/>
      <c r="F125" s="8"/>
      <c r="G125" s="8"/>
      <c r="H125" s="34"/>
      <c r="I125" s="21"/>
      <c r="J125" s="21"/>
      <c r="K125" s="21"/>
      <c r="L125" s="21">
        <v>620.51279999999997</v>
      </c>
      <c r="M125" s="52"/>
    </row>
    <row r="126" spans="1:13" x14ac:dyDescent="0.25">
      <c r="A126" s="15" t="s">
        <v>344</v>
      </c>
      <c r="B126" s="16" t="s">
        <v>20</v>
      </c>
      <c r="C126" s="16" t="s">
        <v>16</v>
      </c>
      <c r="D126" s="21">
        <f t="shared" si="25"/>
        <v>680.57759999999996</v>
      </c>
      <c r="E126" s="8"/>
      <c r="F126" s="8"/>
      <c r="G126" s="8"/>
      <c r="H126" s="34"/>
      <c r="I126" s="21"/>
      <c r="J126" s="21"/>
      <c r="K126" s="21"/>
      <c r="L126" s="21">
        <v>680.57759999999996</v>
      </c>
      <c r="M126" s="52"/>
    </row>
    <row r="127" spans="1:13" x14ac:dyDescent="0.25">
      <c r="A127" s="15" t="s">
        <v>343</v>
      </c>
      <c r="B127" s="16" t="s">
        <v>20</v>
      </c>
      <c r="C127" s="16" t="s">
        <v>16</v>
      </c>
      <c r="D127" s="21">
        <f t="shared" si="25"/>
        <v>660.72239999999999</v>
      </c>
      <c r="E127" s="8"/>
      <c r="F127" s="8"/>
      <c r="G127" s="8"/>
      <c r="H127" s="34"/>
      <c r="I127" s="21"/>
      <c r="J127" s="21"/>
      <c r="K127" s="21"/>
      <c r="L127" s="21">
        <v>660.72239999999999</v>
      </c>
      <c r="M127" s="52"/>
    </row>
    <row r="128" spans="1:13" x14ac:dyDescent="0.25">
      <c r="A128" s="15" t="s">
        <v>340</v>
      </c>
      <c r="B128" s="16" t="s">
        <v>20</v>
      </c>
      <c r="C128" s="16" t="s">
        <v>16</v>
      </c>
      <c r="D128" s="21">
        <f t="shared" si="25"/>
        <v>1226.7</v>
      </c>
      <c r="E128" s="8"/>
      <c r="F128" s="8"/>
      <c r="G128" s="8"/>
      <c r="H128" s="34"/>
      <c r="I128" s="21"/>
      <c r="J128" s="21"/>
      <c r="K128" s="21"/>
      <c r="L128" s="21">
        <v>1226.7</v>
      </c>
      <c r="M128" s="52"/>
    </row>
    <row r="129" spans="1:13" x14ac:dyDescent="0.25">
      <c r="A129" s="15" t="s">
        <v>341</v>
      </c>
      <c r="B129" s="16" t="s">
        <v>20</v>
      </c>
      <c r="C129" s="16" t="s">
        <v>16</v>
      </c>
      <c r="D129" s="21">
        <f t="shared" si="25"/>
        <v>802.5</v>
      </c>
      <c r="E129" s="8"/>
      <c r="F129" s="8"/>
      <c r="G129" s="8"/>
      <c r="H129" s="34"/>
      <c r="I129" s="21"/>
      <c r="J129" s="21"/>
      <c r="K129" s="21"/>
      <c r="L129" s="21">
        <v>802.5</v>
      </c>
      <c r="M129" s="52"/>
    </row>
    <row r="130" spans="1:13" ht="20.399999999999999" x14ac:dyDescent="0.25">
      <c r="A130" s="15" t="s">
        <v>342</v>
      </c>
      <c r="B130" s="16" t="s">
        <v>20</v>
      </c>
      <c r="C130" s="16" t="s">
        <v>16</v>
      </c>
      <c r="D130" s="21">
        <f t="shared" si="25"/>
        <v>286.81560000000002</v>
      </c>
      <c r="E130" s="8"/>
      <c r="F130" s="8"/>
      <c r="G130" s="8"/>
      <c r="H130" s="34"/>
      <c r="I130" s="21"/>
      <c r="J130" s="21"/>
      <c r="K130" s="21"/>
      <c r="L130" s="21">
        <v>286.81560000000002</v>
      </c>
      <c r="M130" s="52"/>
    </row>
    <row r="131" spans="1:13" x14ac:dyDescent="0.25">
      <c r="A131" s="15" t="s">
        <v>101</v>
      </c>
      <c r="B131" s="16" t="s">
        <v>20</v>
      </c>
      <c r="C131" s="16" t="s">
        <v>16</v>
      </c>
      <c r="D131" s="21">
        <f t="shared" si="25"/>
        <v>108.1</v>
      </c>
      <c r="E131" s="8"/>
      <c r="F131" s="8">
        <f>121.4-35.7+22.4</f>
        <v>108.1</v>
      </c>
      <c r="G131" s="8"/>
      <c r="H131" s="34"/>
      <c r="I131" s="21"/>
      <c r="J131" s="21"/>
      <c r="K131" s="21"/>
      <c r="L131" s="21"/>
      <c r="M131" s="52"/>
    </row>
    <row r="132" spans="1:13" ht="43.2" customHeight="1" x14ac:dyDescent="0.25">
      <c r="A132" s="15" t="s">
        <v>72</v>
      </c>
      <c r="B132" s="16" t="s">
        <v>20</v>
      </c>
      <c r="C132" s="16" t="s">
        <v>16</v>
      </c>
      <c r="D132" s="21">
        <f t="shared" si="25"/>
        <v>831.2</v>
      </c>
      <c r="E132" s="8">
        <f>950.9-4.3+0.1-115.5</f>
        <v>831.2</v>
      </c>
      <c r="F132" s="8"/>
      <c r="G132" s="8"/>
      <c r="H132" s="34"/>
      <c r="I132" s="21"/>
      <c r="J132" s="21"/>
      <c r="K132" s="21"/>
      <c r="L132" s="21"/>
      <c r="M132" s="52"/>
    </row>
    <row r="133" spans="1:13" x14ac:dyDescent="0.25">
      <c r="A133" s="40" t="s">
        <v>100</v>
      </c>
      <c r="B133" s="44" t="s">
        <v>20</v>
      </c>
      <c r="C133" s="16" t="s">
        <v>17</v>
      </c>
      <c r="D133" s="21">
        <f t="shared" si="25"/>
        <v>467.9</v>
      </c>
      <c r="E133" s="8"/>
      <c r="F133" s="8">
        <f>SUM(F134:F135)</f>
        <v>467.9</v>
      </c>
      <c r="G133" s="8"/>
      <c r="H133" s="34"/>
      <c r="I133" s="21"/>
      <c r="J133" s="21"/>
      <c r="K133" s="21"/>
      <c r="L133" s="21"/>
      <c r="M133" s="52"/>
    </row>
    <row r="134" spans="1:13" x14ac:dyDescent="0.25">
      <c r="A134" s="40"/>
      <c r="B134" s="44"/>
      <c r="C134" s="16" t="s">
        <v>18</v>
      </c>
      <c r="D134" s="21">
        <f t="shared" si="25"/>
        <v>286.8</v>
      </c>
      <c r="E134" s="8"/>
      <c r="F134" s="8">
        <f>ROUND(835703.39/938992.51*(322.3-0.1),1)</f>
        <v>286.8</v>
      </c>
      <c r="G134" s="8"/>
      <c r="H134" s="34"/>
      <c r="I134" s="21"/>
      <c r="J134" s="21"/>
      <c r="K134" s="21"/>
      <c r="L134" s="21"/>
      <c r="M134" s="52"/>
    </row>
    <row r="135" spans="1:13" ht="19.2" customHeight="1" x14ac:dyDescent="0.25">
      <c r="A135" s="40"/>
      <c r="B135" s="44"/>
      <c r="C135" s="16" t="s">
        <v>19</v>
      </c>
      <c r="D135" s="21">
        <f t="shared" si="25"/>
        <v>181.1</v>
      </c>
      <c r="E135" s="8"/>
      <c r="F135" s="8">
        <f>203.4-22.4+0.1</f>
        <v>181.1</v>
      </c>
      <c r="G135" s="8"/>
      <c r="H135" s="34"/>
      <c r="I135" s="21"/>
      <c r="J135" s="21"/>
      <c r="K135" s="21"/>
      <c r="L135" s="21"/>
      <c r="M135" s="52"/>
    </row>
    <row r="136" spans="1:13" ht="20.399999999999999" x14ac:dyDescent="0.25">
      <c r="A136" s="15" t="s">
        <v>118</v>
      </c>
      <c r="B136" s="16"/>
      <c r="C136" s="16"/>
      <c r="D136" s="21"/>
      <c r="E136" s="8"/>
      <c r="F136" s="8"/>
      <c r="G136" s="8"/>
      <c r="H136" s="34"/>
      <c r="I136" s="21"/>
      <c r="J136" s="21"/>
      <c r="K136" s="21"/>
      <c r="L136" s="21"/>
      <c r="M136" s="52"/>
    </row>
    <row r="137" spans="1:13" ht="20.399999999999999" x14ac:dyDescent="0.25">
      <c r="A137" s="15" t="s">
        <v>119</v>
      </c>
      <c r="B137" s="16"/>
      <c r="C137" s="16"/>
      <c r="D137" s="21"/>
      <c r="E137" s="8"/>
      <c r="F137" s="8"/>
      <c r="G137" s="8"/>
      <c r="H137" s="34"/>
      <c r="I137" s="21"/>
      <c r="J137" s="21"/>
      <c r="K137" s="21"/>
      <c r="L137" s="21"/>
      <c r="M137" s="52"/>
    </row>
    <row r="138" spans="1:13" x14ac:dyDescent="0.25">
      <c r="A138" s="15" t="s">
        <v>91</v>
      </c>
      <c r="B138" s="16" t="s">
        <v>20</v>
      </c>
      <c r="C138" s="16" t="s">
        <v>16</v>
      </c>
      <c r="D138" s="21">
        <f t="shared" si="25"/>
        <v>259.8</v>
      </c>
      <c r="E138" s="8"/>
      <c r="F138" s="8">
        <f>ROUND(835703.39/938992.51*291.9,1)</f>
        <v>259.8</v>
      </c>
      <c r="G138" s="8"/>
      <c r="H138" s="34"/>
      <c r="I138" s="21"/>
      <c r="J138" s="21"/>
      <c r="K138" s="21"/>
      <c r="L138" s="21"/>
      <c r="M138" s="52"/>
    </row>
    <row r="139" spans="1:13" ht="27.6" customHeight="1" x14ac:dyDescent="0.25">
      <c r="A139" s="15" t="s">
        <v>92</v>
      </c>
      <c r="B139" s="16" t="s">
        <v>20</v>
      </c>
      <c r="C139" s="16" t="s">
        <v>16</v>
      </c>
      <c r="D139" s="21">
        <f t="shared" si="25"/>
        <v>68.900000000000006</v>
      </c>
      <c r="E139" s="8">
        <v>68.900000000000006</v>
      </c>
      <c r="F139" s="8"/>
      <c r="G139" s="8"/>
      <c r="H139" s="34"/>
      <c r="I139" s="21"/>
      <c r="J139" s="21"/>
      <c r="K139" s="21"/>
      <c r="L139" s="21"/>
      <c r="M139" s="52"/>
    </row>
    <row r="140" spans="1:13" ht="20.399999999999999" x14ac:dyDescent="0.25">
      <c r="A140" s="15" t="s">
        <v>190</v>
      </c>
      <c r="B140" s="16"/>
      <c r="C140" s="16"/>
      <c r="D140" s="21"/>
      <c r="E140" s="8"/>
      <c r="F140" s="8"/>
      <c r="G140" s="8"/>
      <c r="H140" s="34"/>
      <c r="I140" s="21"/>
      <c r="J140" s="21"/>
      <c r="K140" s="21"/>
      <c r="L140" s="21"/>
      <c r="M140" s="52"/>
    </row>
    <row r="141" spans="1:13" x14ac:dyDescent="0.25">
      <c r="A141" s="42" t="s">
        <v>123</v>
      </c>
      <c r="B141" s="44" t="s">
        <v>20</v>
      </c>
      <c r="C141" s="16" t="s">
        <v>17</v>
      </c>
      <c r="D141" s="20">
        <f>SUM(E141:L141)</f>
        <v>3430.6616000000004</v>
      </c>
      <c r="E141" s="7">
        <f>SUM(E142:E143)</f>
        <v>260.7</v>
      </c>
      <c r="F141" s="7">
        <f t="shared" ref="F141:L141" si="26">SUM(F142:F143)</f>
        <v>117.5</v>
      </c>
      <c r="G141" s="7">
        <f t="shared" si="26"/>
        <v>0</v>
      </c>
      <c r="H141" s="32">
        <f t="shared" si="26"/>
        <v>1629.0000000000002</v>
      </c>
      <c r="I141" s="19">
        <f t="shared" si="26"/>
        <v>0</v>
      </c>
      <c r="J141" s="19">
        <f t="shared" si="26"/>
        <v>0</v>
      </c>
      <c r="K141" s="19">
        <f t="shared" si="26"/>
        <v>0</v>
      </c>
      <c r="L141" s="19">
        <f t="shared" si="26"/>
        <v>1423.4616000000001</v>
      </c>
      <c r="M141" s="53" t="s">
        <v>283</v>
      </c>
    </row>
    <row r="142" spans="1:13" x14ac:dyDescent="0.25">
      <c r="A142" s="42"/>
      <c r="B142" s="44"/>
      <c r="C142" s="16" t="s">
        <v>18</v>
      </c>
      <c r="D142" s="20">
        <f t="shared" ref="D142:D143" si="27">SUM(E142:L142)</f>
        <v>1449.8000000000002</v>
      </c>
      <c r="E142" s="6">
        <f>SUMIFS(E144:E152,$C144:$C152,$C142)</f>
        <v>0</v>
      </c>
      <c r="F142" s="6">
        <f t="shared" ref="F142:L142" si="28">SUMIFS(F144:F152,$C144:$C152,$C142)</f>
        <v>0</v>
      </c>
      <c r="G142" s="6">
        <f t="shared" si="28"/>
        <v>0</v>
      </c>
      <c r="H142" s="33">
        <f t="shared" si="28"/>
        <v>1449.8000000000002</v>
      </c>
      <c r="I142" s="20">
        <f t="shared" si="28"/>
        <v>0</v>
      </c>
      <c r="J142" s="20">
        <f t="shared" si="28"/>
        <v>0</v>
      </c>
      <c r="K142" s="20">
        <f t="shared" si="28"/>
        <v>0</v>
      </c>
      <c r="L142" s="20">
        <f t="shared" si="28"/>
        <v>0</v>
      </c>
      <c r="M142" s="53"/>
    </row>
    <row r="143" spans="1:13" x14ac:dyDescent="0.25">
      <c r="A143" s="42"/>
      <c r="B143" s="44"/>
      <c r="C143" s="16" t="s">
        <v>19</v>
      </c>
      <c r="D143" s="20">
        <f t="shared" si="27"/>
        <v>1980.8616000000002</v>
      </c>
      <c r="E143" s="6">
        <f>SUMIFS(E144:E152,$C144:$C152,$C143)</f>
        <v>260.7</v>
      </c>
      <c r="F143" s="6">
        <f t="shared" ref="F143:L143" si="29">SUMIFS(F144:F152,$C144:$C152,$C143)</f>
        <v>117.5</v>
      </c>
      <c r="G143" s="6">
        <f t="shared" si="29"/>
        <v>0</v>
      </c>
      <c r="H143" s="33">
        <f t="shared" si="29"/>
        <v>179.2</v>
      </c>
      <c r="I143" s="20">
        <f t="shared" si="29"/>
        <v>0</v>
      </c>
      <c r="J143" s="20">
        <f t="shared" si="29"/>
        <v>0</v>
      </c>
      <c r="K143" s="20">
        <f t="shared" si="29"/>
        <v>0</v>
      </c>
      <c r="L143" s="20">
        <f t="shared" si="29"/>
        <v>1423.4616000000001</v>
      </c>
      <c r="M143" s="53"/>
    </row>
    <row r="144" spans="1:13" x14ac:dyDescent="0.25">
      <c r="A144" s="15" t="s">
        <v>85</v>
      </c>
      <c r="B144" s="16" t="s">
        <v>20</v>
      </c>
      <c r="C144" s="16" t="s">
        <v>16</v>
      </c>
      <c r="D144" s="21">
        <f>SUM(E144:L144)</f>
        <v>110.5</v>
      </c>
      <c r="E144" s="8">
        <f>111.3-0.5-0.3</f>
        <v>110.5</v>
      </c>
      <c r="F144" s="8"/>
      <c r="G144" s="8"/>
      <c r="H144" s="34"/>
      <c r="I144" s="21"/>
      <c r="J144" s="21"/>
      <c r="K144" s="21"/>
      <c r="L144" s="21"/>
      <c r="M144" s="54"/>
    </row>
    <row r="145" spans="1:13" x14ac:dyDescent="0.25">
      <c r="A145" s="15" t="s">
        <v>86</v>
      </c>
      <c r="B145" s="16" t="s">
        <v>20</v>
      </c>
      <c r="C145" s="16" t="s">
        <v>16</v>
      </c>
      <c r="D145" s="21">
        <f t="shared" ref="D145:D152" si="30">SUM(E145:L145)</f>
        <v>813.86720000000003</v>
      </c>
      <c r="E145" s="8"/>
      <c r="F145" s="8">
        <v>117.5</v>
      </c>
      <c r="G145" s="8"/>
      <c r="H145" s="34"/>
      <c r="I145" s="21"/>
      <c r="J145" s="21"/>
      <c r="K145" s="21"/>
      <c r="L145" s="21">
        <v>696.36720000000003</v>
      </c>
      <c r="M145" s="54"/>
    </row>
    <row r="146" spans="1:13" x14ac:dyDescent="0.25">
      <c r="A146" s="15" t="s">
        <v>87</v>
      </c>
      <c r="B146" s="16" t="s">
        <v>20</v>
      </c>
      <c r="C146" s="16" t="s">
        <v>16</v>
      </c>
      <c r="D146" s="21">
        <f t="shared" si="30"/>
        <v>116.5</v>
      </c>
      <c r="E146" s="8">
        <f>116.7-0.5+0.3</f>
        <v>116.5</v>
      </c>
      <c r="F146" s="8"/>
      <c r="G146" s="8"/>
      <c r="H146" s="34"/>
      <c r="I146" s="21"/>
      <c r="J146" s="21"/>
      <c r="K146" s="21"/>
      <c r="L146" s="21"/>
      <c r="M146" s="54"/>
    </row>
    <row r="147" spans="1:13" x14ac:dyDescent="0.25">
      <c r="A147" s="40" t="s">
        <v>293</v>
      </c>
      <c r="B147" s="44" t="s">
        <v>20</v>
      </c>
      <c r="C147" s="16" t="s">
        <v>17</v>
      </c>
      <c r="D147" s="21">
        <f t="shared" ref="D147:D149" si="31">SUM(E147:L147)</f>
        <v>1629.0000000000002</v>
      </c>
      <c r="E147" s="8"/>
      <c r="F147" s="8"/>
      <c r="G147" s="8"/>
      <c r="H147" s="34">
        <f>SUM(H148:H149)</f>
        <v>1629.0000000000002</v>
      </c>
      <c r="I147" s="21"/>
      <c r="J147" s="21"/>
      <c r="K147" s="21"/>
      <c r="L147" s="21"/>
      <c r="M147" s="54"/>
    </row>
    <row r="148" spans="1:13" x14ac:dyDescent="0.25">
      <c r="A148" s="40"/>
      <c r="B148" s="44"/>
      <c r="C148" s="16" t="s">
        <v>18</v>
      </c>
      <c r="D148" s="21">
        <f t="shared" si="31"/>
        <v>1449.8000000000002</v>
      </c>
      <c r="E148" s="8"/>
      <c r="F148" s="8"/>
      <c r="G148" s="8"/>
      <c r="H148" s="34">
        <f>1619.9-170.1</f>
        <v>1449.8000000000002</v>
      </c>
      <c r="I148" s="21"/>
      <c r="J148" s="21"/>
      <c r="K148" s="21"/>
      <c r="L148" s="21"/>
      <c r="M148" s="54"/>
    </row>
    <row r="149" spans="1:13" x14ac:dyDescent="0.25">
      <c r="A149" s="40"/>
      <c r="B149" s="44"/>
      <c r="C149" s="16" t="s">
        <v>19</v>
      </c>
      <c r="D149" s="21">
        <f t="shared" si="31"/>
        <v>179.2</v>
      </c>
      <c r="E149" s="8"/>
      <c r="F149" s="8"/>
      <c r="G149" s="8"/>
      <c r="H149" s="34">
        <f>200.2-21</f>
        <v>179.2</v>
      </c>
      <c r="I149" s="21"/>
      <c r="J149" s="21"/>
      <c r="K149" s="21"/>
      <c r="L149" s="21"/>
      <c r="M149" s="54"/>
    </row>
    <row r="150" spans="1:13" ht="20.399999999999999" x14ac:dyDescent="0.25">
      <c r="A150" s="15" t="s">
        <v>88</v>
      </c>
      <c r="B150" s="16" t="s">
        <v>20</v>
      </c>
      <c r="C150" s="16" t="s">
        <v>16</v>
      </c>
      <c r="D150" s="21">
        <f t="shared" si="30"/>
        <v>33.699999999999996</v>
      </c>
      <c r="E150" s="8">
        <f>32.3+1.4</f>
        <v>33.699999999999996</v>
      </c>
      <c r="F150" s="8"/>
      <c r="G150" s="8"/>
      <c r="H150" s="34"/>
      <c r="I150" s="21"/>
      <c r="J150" s="21"/>
      <c r="K150" s="21"/>
      <c r="L150" s="21"/>
      <c r="M150" s="54"/>
    </row>
    <row r="151" spans="1:13" x14ac:dyDescent="0.25">
      <c r="A151" s="15" t="s">
        <v>347</v>
      </c>
      <c r="B151" s="16" t="s">
        <v>20</v>
      </c>
      <c r="C151" s="16" t="s">
        <v>16</v>
      </c>
      <c r="D151" s="21">
        <f t="shared" si="30"/>
        <v>643.86360000000002</v>
      </c>
      <c r="E151" s="8"/>
      <c r="F151" s="8"/>
      <c r="G151" s="8"/>
      <c r="H151" s="34"/>
      <c r="I151" s="21"/>
      <c r="J151" s="21"/>
      <c r="K151" s="21"/>
      <c r="L151" s="21">
        <v>643.86360000000002</v>
      </c>
      <c r="M151" s="54"/>
    </row>
    <row r="152" spans="1:13" x14ac:dyDescent="0.25">
      <c r="A152" s="15" t="s">
        <v>348</v>
      </c>
      <c r="B152" s="16" t="s">
        <v>20</v>
      </c>
      <c r="C152" s="16" t="s">
        <v>16</v>
      </c>
      <c r="D152" s="21">
        <f t="shared" si="30"/>
        <v>83.230800000000002</v>
      </c>
      <c r="E152" s="8"/>
      <c r="F152" s="8"/>
      <c r="G152" s="8"/>
      <c r="H152" s="34"/>
      <c r="I152" s="21"/>
      <c r="J152" s="21"/>
      <c r="K152" s="21"/>
      <c r="L152" s="21">
        <v>83.230800000000002</v>
      </c>
      <c r="M152" s="54"/>
    </row>
    <row r="153" spans="1:13" ht="20.399999999999999" x14ac:dyDescent="0.25">
      <c r="A153" s="17" t="s">
        <v>50</v>
      </c>
      <c r="B153" s="16" t="s">
        <v>15</v>
      </c>
      <c r="C153" s="16" t="s">
        <v>16</v>
      </c>
      <c r="D153" s="20">
        <f t="shared" ref="D153:D184" si="32">SUM(E153:L153)</f>
        <v>7577.3000000000011</v>
      </c>
      <c r="E153" s="6">
        <v>972.7</v>
      </c>
      <c r="F153" s="6">
        <v>1011.6</v>
      </c>
      <c r="G153" s="6">
        <v>1065.5</v>
      </c>
      <c r="H153" s="33">
        <f>1085.2-0.9</f>
        <v>1084.3</v>
      </c>
      <c r="I153" s="20">
        <v>1121.5999999999999</v>
      </c>
      <c r="J153" s="20">
        <v>600</v>
      </c>
      <c r="K153" s="20">
        <v>600</v>
      </c>
      <c r="L153" s="20">
        <v>1121.5999999999999</v>
      </c>
      <c r="M153" s="23" t="s">
        <v>136</v>
      </c>
    </row>
    <row r="154" spans="1:13" x14ac:dyDescent="0.25">
      <c r="A154" s="17" t="s">
        <v>51</v>
      </c>
      <c r="B154" s="16" t="s">
        <v>20</v>
      </c>
      <c r="C154" s="16" t="s">
        <v>16</v>
      </c>
      <c r="D154" s="20">
        <f t="shared" si="32"/>
        <v>5489.7328399999997</v>
      </c>
      <c r="E154" s="6">
        <f>SUM(E155:E161)</f>
        <v>511.5</v>
      </c>
      <c r="F154" s="6">
        <f t="shared" ref="F154:L154" si="33">SUM(F155:F161)</f>
        <v>522.1</v>
      </c>
      <c r="G154" s="6">
        <f t="shared" si="33"/>
        <v>585.29999999999995</v>
      </c>
      <c r="H154" s="33">
        <f t="shared" si="33"/>
        <v>830.4</v>
      </c>
      <c r="I154" s="20">
        <f t="shared" si="33"/>
        <v>796.88910999999996</v>
      </c>
      <c r="J154" s="20">
        <f t="shared" si="33"/>
        <v>629.31119999999999</v>
      </c>
      <c r="K154" s="20">
        <f t="shared" si="33"/>
        <v>796.88910999999996</v>
      </c>
      <c r="L154" s="20">
        <f t="shared" si="33"/>
        <v>817.34342000000004</v>
      </c>
      <c r="M154" s="40" t="s">
        <v>137</v>
      </c>
    </row>
    <row r="155" spans="1:13" x14ac:dyDescent="0.25">
      <c r="A155" s="15" t="s">
        <v>52</v>
      </c>
      <c r="B155" s="16" t="s">
        <v>20</v>
      </c>
      <c r="C155" s="16" t="s">
        <v>16</v>
      </c>
      <c r="D155" s="21">
        <f t="shared" si="32"/>
        <v>4687.3232499999995</v>
      </c>
      <c r="E155" s="8">
        <v>418.9</v>
      </c>
      <c r="F155" s="8">
        <v>435.7</v>
      </c>
      <c r="G155" s="8">
        <v>448.7</v>
      </c>
      <c r="H155" s="34">
        <f>884.8-33.1-1.3-162.1</f>
        <v>688.3</v>
      </c>
      <c r="I155" s="21">
        <v>715.82529</v>
      </c>
      <c r="J155" s="21">
        <v>548.24738000000002</v>
      </c>
      <c r="K155" s="21">
        <v>715.82529</v>
      </c>
      <c r="L155" s="21">
        <v>715.82529</v>
      </c>
      <c r="M155" s="40"/>
    </row>
    <row r="156" spans="1:13" x14ac:dyDescent="0.25">
      <c r="A156" s="15" t="s">
        <v>53</v>
      </c>
      <c r="B156" s="16" t="s">
        <v>20</v>
      </c>
      <c r="C156" s="16" t="s">
        <v>16</v>
      </c>
      <c r="D156" s="21">
        <f t="shared" si="32"/>
        <v>303.97989000000001</v>
      </c>
      <c r="E156" s="8">
        <v>42.8</v>
      </c>
      <c r="F156" s="8">
        <f>41-0.3-1.1-0.1-2.5-1.4</f>
        <v>35.6</v>
      </c>
      <c r="G156" s="8">
        <v>34.5</v>
      </c>
      <c r="H156" s="34">
        <f>44.4-0.8</f>
        <v>43.6</v>
      </c>
      <c r="I156" s="21">
        <v>34.626629999999999</v>
      </c>
      <c r="J156" s="21">
        <v>34.626629999999999</v>
      </c>
      <c r="K156" s="21">
        <v>34.626629999999999</v>
      </c>
      <c r="L156" s="21">
        <v>43.6</v>
      </c>
      <c r="M156" s="40"/>
    </row>
    <row r="157" spans="1:13" x14ac:dyDescent="0.25">
      <c r="A157" s="15" t="s">
        <v>54</v>
      </c>
      <c r="B157" s="16" t="s">
        <v>20</v>
      </c>
      <c r="C157" s="16" t="s">
        <v>16</v>
      </c>
      <c r="D157" s="21">
        <f t="shared" si="32"/>
        <v>364.95717999999999</v>
      </c>
      <c r="E157" s="8">
        <f>49.8-0.9-1.4</f>
        <v>47.5</v>
      </c>
      <c r="F157" s="8">
        <f>49.4-4.1</f>
        <v>45.3</v>
      </c>
      <c r="G157" s="8">
        <v>46.1</v>
      </c>
      <c r="H157" s="34">
        <v>52.1</v>
      </c>
      <c r="I157" s="21">
        <v>40.619059999999998</v>
      </c>
      <c r="J157" s="21">
        <v>40.619059999999998</v>
      </c>
      <c r="K157" s="21">
        <v>40.619059999999998</v>
      </c>
      <c r="L157" s="21">
        <v>52.1</v>
      </c>
      <c r="M157" s="40"/>
    </row>
    <row r="158" spans="1:13" x14ac:dyDescent="0.25">
      <c r="A158" s="15" t="s">
        <v>116</v>
      </c>
      <c r="B158" s="16" t="s">
        <v>20</v>
      </c>
      <c r="C158" s="16" t="s">
        <v>16</v>
      </c>
      <c r="D158" s="21">
        <f t="shared" si="32"/>
        <v>2.2999999999999998</v>
      </c>
      <c r="E158" s="8">
        <v>2.2999999999999998</v>
      </c>
      <c r="F158" s="8"/>
      <c r="G158" s="8"/>
      <c r="H158" s="34"/>
      <c r="I158" s="21"/>
      <c r="J158" s="21"/>
      <c r="K158" s="21"/>
      <c r="L158" s="21"/>
      <c r="M158" s="40"/>
    </row>
    <row r="159" spans="1:13" ht="32.4" customHeight="1" x14ac:dyDescent="0.25">
      <c r="A159" s="15" t="s">
        <v>117</v>
      </c>
      <c r="B159" s="16" t="s">
        <v>20</v>
      </c>
      <c r="C159" s="16" t="s">
        <v>16</v>
      </c>
      <c r="D159" s="21">
        <f t="shared" si="32"/>
        <v>40.872519999999994</v>
      </c>
      <c r="E159" s="8"/>
      <c r="F159" s="8">
        <f>4.4+1.1</f>
        <v>5.5</v>
      </c>
      <c r="G159" s="8">
        <v>5.7</v>
      </c>
      <c r="H159" s="34">
        <f>5.6+0.8</f>
        <v>6.3999999999999995</v>
      </c>
      <c r="I159" s="21">
        <v>5.81813</v>
      </c>
      <c r="J159" s="21">
        <v>5.81813</v>
      </c>
      <c r="K159" s="21">
        <v>5.81813</v>
      </c>
      <c r="L159" s="21">
        <v>5.81813</v>
      </c>
      <c r="M159" s="40"/>
    </row>
    <row r="160" spans="1:13" ht="31.2" customHeight="1" x14ac:dyDescent="0.25">
      <c r="A160" s="15" t="s">
        <v>168</v>
      </c>
      <c r="B160" s="16" t="s">
        <v>20</v>
      </c>
      <c r="C160" s="16" t="s">
        <v>16</v>
      </c>
      <c r="D160" s="21">
        <f t="shared" si="32"/>
        <v>50.3</v>
      </c>
      <c r="E160" s="8"/>
      <c r="F160" s="8"/>
      <c r="G160" s="8">
        <v>50.3</v>
      </c>
      <c r="H160" s="34"/>
      <c r="I160" s="21"/>
      <c r="J160" s="21"/>
      <c r="K160" s="21"/>
      <c r="L160" s="21"/>
      <c r="M160" s="40"/>
    </row>
    <row r="161" spans="1:13" x14ac:dyDescent="0.25">
      <c r="A161" s="15" t="s">
        <v>308</v>
      </c>
      <c r="B161" s="16" t="s">
        <v>20</v>
      </c>
      <c r="C161" s="16" t="s">
        <v>16</v>
      </c>
      <c r="D161" s="21">
        <f t="shared" ref="D161" si="34">SUM(E161:L161)</f>
        <v>40</v>
      </c>
      <c r="E161" s="8"/>
      <c r="F161" s="8"/>
      <c r="G161" s="8"/>
      <c r="H161" s="34">
        <v>40</v>
      </c>
      <c r="I161" s="21"/>
      <c r="J161" s="21"/>
      <c r="K161" s="21"/>
      <c r="L161" s="21"/>
      <c r="M161" s="40"/>
    </row>
    <row r="162" spans="1:13" ht="22.8" customHeight="1" x14ac:dyDescent="0.25">
      <c r="A162" s="17" t="s">
        <v>55</v>
      </c>
      <c r="B162" s="16" t="s">
        <v>20</v>
      </c>
      <c r="C162" s="16" t="s">
        <v>16</v>
      </c>
      <c r="D162" s="20">
        <f t="shared" si="32"/>
        <v>118301.34572000001</v>
      </c>
      <c r="E162" s="6">
        <f>SUM(E163:E171)</f>
        <v>14812.3</v>
      </c>
      <c r="F162" s="6">
        <f t="shared" ref="F162:L162" si="35">SUM(F163:F171)</f>
        <v>14679.5</v>
      </c>
      <c r="G162" s="6">
        <f t="shared" si="35"/>
        <v>13817.400000000001</v>
      </c>
      <c r="H162" s="33">
        <f t="shared" si="35"/>
        <v>16335.7</v>
      </c>
      <c r="I162" s="20">
        <f t="shared" si="35"/>
        <v>15170.551800000001</v>
      </c>
      <c r="J162" s="20">
        <f t="shared" si="35"/>
        <v>15170.552800000001</v>
      </c>
      <c r="K162" s="20">
        <f t="shared" si="35"/>
        <v>15170.552800000001</v>
      </c>
      <c r="L162" s="20">
        <f t="shared" si="35"/>
        <v>13144.78832</v>
      </c>
      <c r="M162" s="40" t="s">
        <v>138</v>
      </c>
    </row>
    <row r="163" spans="1:13" x14ac:dyDescent="0.25">
      <c r="A163" s="15" t="s">
        <v>56</v>
      </c>
      <c r="B163" s="16" t="s">
        <v>20</v>
      </c>
      <c r="C163" s="16" t="s">
        <v>16</v>
      </c>
      <c r="D163" s="21">
        <f t="shared" si="32"/>
        <v>5400.0281599999998</v>
      </c>
      <c r="E163" s="8">
        <v>650</v>
      </c>
      <c r="F163" s="8">
        <v>658.5</v>
      </c>
      <c r="G163" s="8">
        <v>678.3</v>
      </c>
      <c r="H163" s="34">
        <f>859.1-197.6</f>
        <v>661.5</v>
      </c>
      <c r="I163" s="21">
        <v>687.93204000000003</v>
      </c>
      <c r="J163" s="21">
        <v>687.93204000000003</v>
      </c>
      <c r="K163" s="21">
        <v>687.93204000000003</v>
      </c>
      <c r="L163" s="21">
        <v>687.93204000000003</v>
      </c>
      <c r="M163" s="41"/>
    </row>
    <row r="164" spans="1:13" x14ac:dyDescent="0.25">
      <c r="A164" s="15" t="s">
        <v>57</v>
      </c>
      <c r="B164" s="16" t="s">
        <v>20</v>
      </c>
      <c r="C164" s="16" t="s">
        <v>16</v>
      </c>
      <c r="D164" s="21">
        <f t="shared" si="32"/>
        <v>31210.047520000004</v>
      </c>
      <c r="E164" s="8">
        <v>7098.4</v>
      </c>
      <c r="F164" s="8">
        <f>7380.5-23.1-83.1-91-8.6-0.1</f>
        <v>7174.5999999999985</v>
      </c>
      <c r="G164" s="8">
        <v>5262.8</v>
      </c>
      <c r="H164" s="34">
        <f>2411.4+275.7+18.3</f>
        <v>2705.4</v>
      </c>
      <c r="I164" s="21">
        <v>2093.9158400000001</v>
      </c>
      <c r="J164" s="21">
        <v>2093.9158400000001</v>
      </c>
      <c r="K164" s="21">
        <v>2093.9158400000001</v>
      </c>
      <c r="L164" s="21">
        <v>2687.1</v>
      </c>
      <c r="M164" s="41"/>
    </row>
    <row r="165" spans="1:13" x14ac:dyDescent="0.25">
      <c r="A165" s="15" t="s">
        <v>58</v>
      </c>
      <c r="B165" s="16" t="s">
        <v>20</v>
      </c>
      <c r="C165" s="16" t="s">
        <v>16</v>
      </c>
      <c r="D165" s="21">
        <f t="shared" si="32"/>
        <v>30239.367280000006</v>
      </c>
      <c r="E165" s="8">
        <f>7026.1-14.8-3.7</f>
        <v>7007.6</v>
      </c>
      <c r="F165" s="8">
        <f>7464.3-57.2-174.6-420.4-39.2-27.7</f>
        <v>6745.2000000000007</v>
      </c>
      <c r="G165" s="8">
        <v>4345.1000000000004</v>
      </c>
      <c r="H165" s="34">
        <f>2692.4+106.6</f>
        <v>2799</v>
      </c>
      <c r="I165" s="21">
        <v>2181.1557600000001</v>
      </c>
      <c r="J165" s="21">
        <v>2181.1557600000001</v>
      </c>
      <c r="K165" s="21">
        <v>2181.1557600000001</v>
      </c>
      <c r="L165" s="21">
        <v>2799</v>
      </c>
      <c r="M165" s="41"/>
    </row>
    <row r="166" spans="1:13" x14ac:dyDescent="0.25">
      <c r="A166" s="15" t="s">
        <v>102</v>
      </c>
      <c r="B166" s="16" t="s">
        <v>20</v>
      </c>
      <c r="C166" s="16" t="s">
        <v>16</v>
      </c>
      <c r="D166" s="21">
        <f t="shared" si="32"/>
        <v>329.12860000000001</v>
      </c>
      <c r="E166" s="8">
        <f>41.5+14.8</f>
        <v>56.3</v>
      </c>
      <c r="F166" s="8">
        <f>44.2-4.9-3.8</f>
        <v>35.500000000000007</v>
      </c>
      <c r="G166" s="8">
        <v>50.6</v>
      </c>
      <c r="H166" s="34">
        <v>43</v>
      </c>
      <c r="I166" s="21">
        <v>33.5762</v>
      </c>
      <c r="J166" s="21">
        <v>33.5762</v>
      </c>
      <c r="K166" s="21">
        <v>33.5762</v>
      </c>
      <c r="L166" s="21">
        <v>43</v>
      </c>
      <c r="M166" s="41"/>
    </row>
    <row r="167" spans="1:13" x14ac:dyDescent="0.25">
      <c r="A167" s="15" t="s">
        <v>129</v>
      </c>
      <c r="B167" s="16" t="s">
        <v>20</v>
      </c>
      <c r="C167" s="16" t="s">
        <v>16</v>
      </c>
      <c r="D167" s="21">
        <f t="shared" si="32"/>
        <v>8.6</v>
      </c>
      <c r="E167" s="8"/>
      <c r="F167" s="8">
        <v>8.6</v>
      </c>
      <c r="G167" s="8"/>
      <c r="H167" s="34"/>
      <c r="I167" s="21"/>
      <c r="J167" s="21"/>
      <c r="K167" s="21"/>
      <c r="L167" s="21"/>
      <c r="M167" s="41"/>
    </row>
    <row r="168" spans="1:13" x14ac:dyDescent="0.25">
      <c r="A168" s="15" t="s">
        <v>202</v>
      </c>
      <c r="B168" s="16" t="s">
        <v>20</v>
      </c>
      <c r="C168" s="16" t="s">
        <v>16</v>
      </c>
      <c r="D168" s="21">
        <f t="shared" si="32"/>
        <v>47.3</v>
      </c>
      <c r="E168" s="8"/>
      <c r="F168" s="8">
        <v>29.9</v>
      </c>
      <c r="G168" s="8">
        <v>17.399999999999999</v>
      </c>
      <c r="H168" s="34"/>
      <c r="I168" s="21"/>
      <c r="J168" s="21"/>
      <c r="K168" s="21"/>
      <c r="L168" s="21"/>
      <c r="M168" s="41"/>
    </row>
    <row r="169" spans="1:13" x14ac:dyDescent="0.25">
      <c r="A169" s="15" t="s">
        <v>203</v>
      </c>
      <c r="B169" s="16" t="s">
        <v>20</v>
      </c>
      <c r="C169" s="16" t="s">
        <v>16</v>
      </c>
      <c r="D169" s="21">
        <f t="shared" si="32"/>
        <v>43.2</v>
      </c>
      <c r="E169" s="8"/>
      <c r="F169" s="8">
        <v>27.2</v>
      </c>
      <c r="G169" s="8">
        <v>16</v>
      </c>
      <c r="H169" s="34"/>
      <c r="I169" s="21"/>
      <c r="J169" s="21"/>
      <c r="K169" s="21"/>
      <c r="L169" s="21"/>
      <c r="M169" s="41"/>
    </row>
    <row r="170" spans="1:13" ht="63" customHeight="1" x14ac:dyDescent="0.25">
      <c r="A170" s="15" t="s">
        <v>204</v>
      </c>
      <c r="B170" s="16" t="s">
        <v>20</v>
      </c>
      <c r="C170" s="16" t="s">
        <v>16</v>
      </c>
      <c r="D170" s="21">
        <f t="shared" si="32"/>
        <v>48693.049039999998</v>
      </c>
      <c r="E170" s="8"/>
      <c r="F170" s="8"/>
      <c r="G170" s="8">
        <v>3246.2</v>
      </c>
      <c r="H170" s="34">
        <v>9738.6</v>
      </c>
      <c r="I170" s="21">
        <v>9738.6156800000008</v>
      </c>
      <c r="J170" s="21">
        <v>9738.6166799999992</v>
      </c>
      <c r="K170" s="21">
        <v>9738.6166799999992</v>
      </c>
      <c r="L170" s="21">
        <v>6492.4</v>
      </c>
      <c r="M170" s="23" t="s">
        <v>200</v>
      </c>
    </row>
    <row r="171" spans="1:13" ht="35.4" customHeight="1" x14ac:dyDescent="0.25">
      <c r="A171" s="29" t="s">
        <v>205</v>
      </c>
      <c r="B171" s="16" t="s">
        <v>20</v>
      </c>
      <c r="C171" s="16" t="s">
        <v>16</v>
      </c>
      <c r="D171" s="21">
        <f t="shared" si="32"/>
        <v>2330.6251200000002</v>
      </c>
      <c r="E171" s="8"/>
      <c r="F171" s="8"/>
      <c r="G171" s="8">
        <v>201</v>
      </c>
      <c r="H171" s="34">
        <f>424.8-36.6</f>
        <v>388.2</v>
      </c>
      <c r="I171" s="21">
        <v>435.35628000000003</v>
      </c>
      <c r="J171" s="21">
        <v>435.35628000000003</v>
      </c>
      <c r="K171" s="21">
        <v>435.35628000000003</v>
      </c>
      <c r="L171" s="21">
        <v>435.35628000000003</v>
      </c>
      <c r="M171" s="23" t="s">
        <v>206</v>
      </c>
    </row>
    <row r="172" spans="1:13" ht="24" customHeight="1" x14ac:dyDescent="0.25">
      <c r="A172" s="17" t="s">
        <v>68</v>
      </c>
      <c r="B172" s="16" t="s">
        <v>20</v>
      </c>
      <c r="C172" s="16" t="s">
        <v>46</v>
      </c>
      <c r="D172" s="20">
        <f t="shared" si="32"/>
        <v>21.699999999999996</v>
      </c>
      <c r="E172" s="6">
        <f>SUM(E173:E175)</f>
        <v>16.799999999999997</v>
      </c>
      <c r="F172" s="6">
        <f t="shared" ref="F172:L172" si="36">SUM(F173:F175)</f>
        <v>4.9000000000000004</v>
      </c>
      <c r="G172" s="6">
        <f t="shared" si="36"/>
        <v>0</v>
      </c>
      <c r="H172" s="33">
        <f t="shared" si="36"/>
        <v>0</v>
      </c>
      <c r="I172" s="20">
        <f t="shared" si="36"/>
        <v>0</v>
      </c>
      <c r="J172" s="20">
        <f t="shared" si="36"/>
        <v>0</v>
      </c>
      <c r="K172" s="20">
        <f t="shared" si="36"/>
        <v>0</v>
      </c>
      <c r="L172" s="20">
        <f t="shared" si="36"/>
        <v>0</v>
      </c>
      <c r="M172" s="40" t="s">
        <v>311</v>
      </c>
    </row>
    <row r="173" spans="1:13" ht="20.399999999999999" x14ac:dyDescent="0.25">
      <c r="A173" s="15" t="s">
        <v>69</v>
      </c>
      <c r="B173" s="16" t="s">
        <v>20</v>
      </c>
      <c r="C173" s="16" t="s">
        <v>70</v>
      </c>
      <c r="D173" s="21">
        <f t="shared" si="32"/>
        <v>6.1</v>
      </c>
      <c r="E173" s="8">
        <v>6.1</v>
      </c>
      <c r="F173" s="8"/>
      <c r="G173" s="8"/>
      <c r="H173" s="34"/>
      <c r="I173" s="21"/>
      <c r="J173" s="21"/>
      <c r="K173" s="21"/>
      <c r="L173" s="21"/>
      <c r="M173" s="40"/>
    </row>
    <row r="174" spans="1:13" x14ac:dyDescent="0.25">
      <c r="A174" s="15" t="s">
        <v>67</v>
      </c>
      <c r="B174" s="16" t="s">
        <v>20</v>
      </c>
      <c r="C174" s="16" t="s">
        <v>46</v>
      </c>
      <c r="D174" s="21">
        <f t="shared" si="32"/>
        <v>10.7</v>
      </c>
      <c r="E174" s="8">
        <v>10.7</v>
      </c>
      <c r="F174" s="8"/>
      <c r="G174" s="8"/>
      <c r="H174" s="34"/>
      <c r="I174" s="21"/>
      <c r="J174" s="21"/>
      <c r="K174" s="21"/>
      <c r="L174" s="21"/>
      <c r="M174" s="40"/>
    </row>
    <row r="175" spans="1:13" x14ac:dyDescent="0.25">
      <c r="A175" s="15" t="s">
        <v>161</v>
      </c>
      <c r="B175" s="16" t="s">
        <v>20</v>
      </c>
      <c r="C175" s="16" t="s">
        <v>46</v>
      </c>
      <c r="D175" s="21">
        <f t="shared" si="32"/>
        <v>4.9000000000000004</v>
      </c>
      <c r="E175" s="8"/>
      <c r="F175" s="8">
        <v>4.9000000000000004</v>
      </c>
      <c r="G175" s="8"/>
      <c r="H175" s="34"/>
      <c r="I175" s="21"/>
      <c r="J175" s="21"/>
      <c r="K175" s="21"/>
      <c r="L175" s="21"/>
      <c r="M175" s="40"/>
    </row>
    <row r="176" spans="1:13" ht="12.75" customHeight="1" x14ac:dyDescent="0.25">
      <c r="A176" s="42" t="s">
        <v>89</v>
      </c>
      <c r="B176" s="44" t="s">
        <v>20</v>
      </c>
      <c r="C176" s="16" t="s">
        <v>17</v>
      </c>
      <c r="D176" s="20">
        <f t="shared" si="32"/>
        <v>213.1</v>
      </c>
      <c r="E176" s="6">
        <f>SUM(E177:E178)</f>
        <v>213.1</v>
      </c>
      <c r="F176" s="8"/>
      <c r="G176" s="8"/>
      <c r="H176" s="34"/>
      <c r="I176" s="21"/>
      <c r="J176" s="21"/>
      <c r="K176" s="21"/>
      <c r="L176" s="21"/>
      <c r="M176" s="40" t="s">
        <v>258</v>
      </c>
    </row>
    <row r="177" spans="1:13" x14ac:dyDescent="0.25">
      <c r="A177" s="42"/>
      <c r="B177" s="44"/>
      <c r="C177" s="16" t="s">
        <v>18</v>
      </c>
      <c r="D177" s="20">
        <f t="shared" si="32"/>
        <v>59.1</v>
      </c>
      <c r="E177" s="6">
        <v>59.1</v>
      </c>
      <c r="F177" s="6"/>
      <c r="G177" s="6"/>
      <c r="H177" s="33"/>
      <c r="I177" s="20"/>
      <c r="J177" s="20"/>
      <c r="K177" s="20"/>
      <c r="L177" s="20"/>
      <c r="M177" s="40"/>
    </row>
    <row r="178" spans="1:13" x14ac:dyDescent="0.25">
      <c r="A178" s="42"/>
      <c r="B178" s="44"/>
      <c r="C178" s="16" t="s">
        <v>19</v>
      </c>
      <c r="D178" s="20">
        <f t="shared" si="32"/>
        <v>154</v>
      </c>
      <c r="E178" s="6">
        <v>154</v>
      </c>
      <c r="F178" s="6"/>
      <c r="G178" s="6"/>
      <c r="H178" s="33"/>
      <c r="I178" s="20"/>
      <c r="J178" s="20"/>
      <c r="K178" s="20"/>
      <c r="L178" s="20"/>
      <c r="M178" s="40"/>
    </row>
    <row r="179" spans="1:13" ht="37.799999999999997" customHeight="1" x14ac:dyDescent="0.25">
      <c r="A179" s="17" t="s">
        <v>77</v>
      </c>
      <c r="B179" s="16" t="s">
        <v>20</v>
      </c>
      <c r="C179" s="16" t="s">
        <v>16</v>
      </c>
      <c r="D179" s="20">
        <f t="shared" si="32"/>
        <v>600.4</v>
      </c>
      <c r="E179" s="6">
        <v>300.2</v>
      </c>
      <c r="F179" s="6">
        <v>300.2</v>
      </c>
      <c r="G179" s="6"/>
      <c r="H179" s="33"/>
      <c r="I179" s="20"/>
      <c r="J179" s="20"/>
      <c r="K179" s="20"/>
      <c r="L179" s="20"/>
      <c r="M179" s="23" t="s">
        <v>140</v>
      </c>
    </row>
    <row r="180" spans="1:13" ht="40.799999999999997" customHeight="1" x14ac:dyDescent="0.25">
      <c r="A180" s="17" t="s">
        <v>80</v>
      </c>
      <c r="B180" s="16" t="s">
        <v>20</v>
      </c>
      <c r="C180" s="16" t="s">
        <v>16</v>
      </c>
      <c r="D180" s="20">
        <f t="shared" si="32"/>
        <v>58.2</v>
      </c>
      <c r="E180" s="6">
        <v>58.2</v>
      </c>
      <c r="F180" s="6"/>
      <c r="G180" s="6"/>
      <c r="H180" s="33"/>
      <c r="I180" s="20"/>
      <c r="J180" s="20"/>
      <c r="K180" s="20"/>
      <c r="L180" s="20"/>
      <c r="M180" s="23" t="s">
        <v>139</v>
      </c>
    </row>
    <row r="181" spans="1:13" ht="30.6" customHeight="1" x14ac:dyDescent="0.25">
      <c r="A181" s="17" t="s">
        <v>103</v>
      </c>
      <c r="B181" s="16" t="s">
        <v>20</v>
      </c>
      <c r="C181" s="16" t="s">
        <v>16</v>
      </c>
      <c r="D181" s="20">
        <f t="shared" si="32"/>
        <v>4372.3999999999996</v>
      </c>
      <c r="E181" s="6"/>
      <c r="F181" s="6"/>
      <c r="G181" s="6"/>
      <c r="H181" s="33"/>
      <c r="I181" s="20"/>
      <c r="J181" s="20"/>
      <c r="K181" s="20"/>
      <c r="L181" s="20">
        <v>4372.3999999999996</v>
      </c>
      <c r="M181" s="23" t="s">
        <v>141</v>
      </c>
    </row>
    <row r="182" spans="1:13" ht="24" customHeight="1" x14ac:dyDescent="0.25">
      <c r="A182" s="17" t="s">
        <v>104</v>
      </c>
      <c r="B182" s="16" t="s">
        <v>20</v>
      </c>
      <c r="C182" s="16" t="s">
        <v>16</v>
      </c>
      <c r="D182" s="20">
        <f t="shared" si="32"/>
        <v>201.2</v>
      </c>
      <c r="E182" s="6"/>
      <c r="F182" s="6"/>
      <c r="G182" s="6"/>
      <c r="H182" s="33"/>
      <c r="I182" s="20"/>
      <c r="J182" s="20"/>
      <c r="K182" s="20"/>
      <c r="L182" s="20">
        <v>201.2</v>
      </c>
      <c r="M182" s="23" t="s">
        <v>143</v>
      </c>
    </row>
    <row r="183" spans="1:13" ht="19.8" customHeight="1" x14ac:dyDescent="0.25">
      <c r="A183" s="17" t="s">
        <v>105</v>
      </c>
      <c r="B183" s="16" t="s">
        <v>20</v>
      </c>
      <c r="C183" s="16" t="s">
        <v>16</v>
      </c>
      <c r="D183" s="20">
        <f t="shared" si="32"/>
        <v>734.9</v>
      </c>
      <c r="E183" s="6"/>
      <c r="F183" s="6"/>
      <c r="G183" s="6"/>
      <c r="H183" s="33"/>
      <c r="I183" s="20"/>
      <c r="J183" s="20"/>
      <c r="K183" s="20"/>
      <c r="L183" s="20">
        <v>734.9</v>
      </c>
      <c r="M183" s="23" t="s">
        <v>143</v>
      </c>
    </row>
    <row r="184" spans="1:13" ht="27.6" customHeight="1" x14ac:dyDescent="0.25">
      <c r="A184" s="17" t="s">
        <v>106</v>
      </c>
      <c r="B184" s="16" t="s">
        <v>20</v>
      </c>
      <c r="C184" s="16" t="s">
        <v>16</v>
      </c>
      <c r="D184" s="20">
        <f t="shared" si="32"/>
        <v>26.2</v>
      </c>
      <c r="E184" s="6"/>
      <c r="F184" s="6"/>
      <c r="G184" s="6"/>
      <c r="H184" s="33"/>
      <c r="I184" s="20"/>
      <c r="J184" s="20"/>
      <c r="K184" s="20"/>
      <c r="L184" s="20">
        <v>26.2</v>
      </c>
      <c r="M184" s="23" t="s">
        <v>142</v>
      </c>
    </row>
    <row r="185" spans="1:13" ht="13.2" customHeight="1" x14ac:dyDescent="0.25">
      <c r="A185" s="42" t="s">
        <v>212</v>
      </c>
      <c r="B185" s="44" t="s">
        <v>20</v>
      </c>
      <c r="C185" s="16" t="s">
        <v>17</v>
      </c>
      <c r="D185" s="20">
        <f>SUM(E185:L185)</f>
        <v>2866.0363200000002</v>
      </c>
      <c r="E185" s="7">
        <f>SUM(E186:E187)</f>
        <v>0</v>
      </c>
      <c r="F185" s="7">
        <f t="shared" ref="F185:L185" si="37">SUM(F186:F187)</f>
        <v>0</v>
      </c>
      <c r="G185" s="7">
        <f t="shared" si="37"/>
        <v>1318</v>
      </c>
      <c r="H185" s="32">
        <f t="shared" si="37"/>
        <v>298.79999999999995</v>
      </c>
      <c r="I185" s="19">
        <f t="shared" si="37"/>
        <v>1249.23632</v>
      </c>
      <c r="J185" s="19">
        <f t="shared" si="37"/>
        <v>0</v>
      </c>
      <c r="K185" s="19">
        <f t="shared" si="37"/>
        <v>0</v>
      </c>
      <c r="L185" s="19">
        <f t="shared" si="37"/>
        <v>0</v>
      </c>
      <c r="M185" s="40" t="s">
        <v>215</v>
      </c>
    </row>
    <row r="186" spans="1:13" x14ac:dyDescent="0.25">
      <c r="A186" s="42"/>
      <c r="B186" s="44"/>
      <c r="C186" s="16" t="s">
        <v>18</v>
      </c>
      <c r="D186" s="20">
        <f>SUM(E186:L186)</f>
        <v>1431.8000000000002</v>
      </c>
      <c r="E186" s="6">
        <f>SUMIFS(E188:E232,$C188:$C232,$C186)</f>
        <v>0</v>
      </c>
      <c r="F186" s="6">
        <f t="shared" ref="F186:L186" si="38">SUMIFS(F188:F232,$C188:$C232,$C186)</f>
        <v>0</v>
      </c>
      <c r="G186" s="6">
        <f t="shared" si="38"/>
        <v>1165.9000000000001</v>
      </c>
      <c r="H186" s="33">
        <f t="shared" si="38"/>
        <v>265.89999999999998</v>
      </c>
      <c r="I186" s="20">
        <f t="shared" si="38"/>
        <v>0</v>
      </c>
      <c r="J186" s="20">
        <f t="shared" si="38"/>
        <v>0</v>
      </c>
      <c r="K186" s="20">
        <f t="shared" si="38"/>
        <v>0</v>
      </c>
      <c r="L186" s="20">
        <f t="shared" si="38"/>
        <v>0</v>
      </c>
      <c r="M186" s="40"/>
    </row>
    <row r="187" spans="1:13" x14ac:dyDescent="0.25">
      <c r="A187" s="42"/>
      <c r="B187" s="44"/>
      <c r="C187" s="16" t="s">
        <v>19</v>
      </c>
      <c r="D187" s="20">
        <f>SUM(E187:L187)</f>
        <v>1434.23632</v>
      </c>
      <c r="E187" s="6">
        <f>SUMIFS(E188:E232,$C188:$C232,$C187)</f>
        <v>0</v>
      </c>
      <c r="F187" s="6">
        <f t="shared" ref="F187:L187" si="39">SUMIFS(F188:F232,$C188:$C232,$C187)</f>
        <v>0</v>
      </c>
      <c r="G187" s="6">
        <f t="shared" si="39"/>
        <v>152.1</v>
      </c>
      <c r="H187" s="33">
        <f t="shared" si="39"/>
        <v>32.9</v>
      </c>
      <c r="I187" s="20">
        <f>SUMIFS(I188:I232,$C188:$C232,$C187)</f>
        <v>1249.23632</v>
      </c>
      <c r="J187" s="20">
        <f t="shared" si="39"/>
        <v>0</v>
      </c>
      <c r="K187" s="20">
        <f t="shared" si="39"/>
        <v>0</v>
      </c>
      <c r="L187" s="20">
        <f t="shared" si="39"/>
        <v>0</v>
      </c>
      <c r="M187" s="40"/>
    </row>
    <row r="188" spans="1:13" x14ac:dyDescent="0.25">
      <c r="A188" s="40" t="s">
        <v>275</v>
      </c>
      <c r="B188" s="44" t="s">
        <v>20</v>
      </c>
      <c r="C188" s="16" t="s">
        <v>17</v>
      </c>
      <c r="D188" s="21">
        <f t="shared" ref="D188:D226" si="40">SUM(E188:L188)</f>
        <v>285.5</v>
      </c>
      <c r="E188" s="8"/>
      <c r="F188" s="8"/>
      <c r="G188" s="8">
        <f>SUM(G189:G190)</f>
        <v>285.5</v>
      </c>
      <c r="H188" s="34"/>
      <c r="I188" s="21"/>
      <c r="J188" s="21"/>
      <c r="K188" s="21"/>
      <c r="L188" s="21"/>
      <c r="M188" s="40"/>
    </row>
    <row r="189" spans="1:13" x14ac:dyDescent="0.25">
      <c r="A189" s="40"/>
      <c r="B189" s="44"/>
      <c r="C189" s="16" t="s">
        <v>18</v>
      </c>
      <c r="D189" s="21">
        <f t="shared" si="40"/>
        <v>254.1</v>
      </c>
      <c r="E189" s="8"/>
      <c r="F189" s="8"/>
      <c r="G189" s="8">
        <v>254.1</v>
      </c>
      <c r="H189" s="34"/>
      <c r="I189" s="21"/>
      <c r="J189" s="21"/>
      <c r="K189" s="21"/>
      <c r="L189" s="21"/>
      <c r="M189" s="40"/>
    </row>
    <row r="190" spans="1:13" x14ac:dyDescent="0.25">
      <c r="A190" s="40"/>
      <c r="B190" s="44"/>
      <c r="C190" s="16" t="s">
        <v>19</v>
      </c>
      <c r="D190" s="21">
        <f t="shared" si="40"/>
        <v>31.4</v>
      </c>
      <c r="E190" s="8"/>
      <c r="F190" s="8"/>
      <c r="G190" s="8">
        <v>31.4</v>
      </c>
      <c r="H190" s="34"/>
      <c r="I190" s="21"/>
      <c r="J190" s="21"/>
      <c r="K190" s="21"/>
      <c r="L190" s="21"/>
      <c r="M190" s="40"/>
    </row>
    <row r="191" spans="1:13" x14ac:dyDescent="0.25">
      <c r="A191" s="40" t="s">
        <v>276</v>
      </c>
      <c r="B191" s="44" t="s">
        <v>20</v>
      </c>
      <c r="C191" s="16" t="s">
        <v>17</v>
      </c>
      <c r="D191" s="21">
        <f t="shared" si="40"/>
        <v>271.89999999999998</v>
      </c>
      <c r="E191" s="8"/>
      <c r="F191" s="8"/>
      <c r="G191" s="8">
        <f>SUM(G192:G193)</f>
        <v>271.89999999999998</v>
      </c>
      <c r="H191" s="34"/>
      <c r="I191" s="21"/>
      <c r="J191" s="21"/>
      <c r="K191" s="21"/>
      <c r="L191" s="21"/>
      <c r="M191" s="40"/>
    </row>
    <row r="192" spans="1:13" x14ac:dyDescent="0.25">
      <c r="A192" s="40"/>
      <c r="B192" s="44"/>
      <c r="C192" s="16" t="s">
        <v>18</v>
      </c>
      <c r="D192" s="21">
        <f t="shared" si="40"/>
        <v>242</v>
      </c>
      <c r="E192" s="8"/>
      <c r="F192" s="8"/>
      <c r="G192" s="8">
        <v>242</v>
      </c>
      <c r="H192" s="34"/>
      <c r="I192" s="21"/>
      <c r="J192" s="21"/>
      <c r="K192" s="21"/>
      <c r="L192" s="21"/>
      <c r="M192" s="40"/>
    </row>
    <row r="193" spans="1:13" x14ac:dyDescent="0.25">
      <c r="A193" s="40"/>
      <c r="B193" s="44"/>
      <c r="C193" s="16" t="s">
        <v>19</v>
      </c>
      <c r="D193" s="21">
        <f t="shared" si="40"/>
        <v>29.9</v>
      </c>
      <c r="E193" s="8"/>
      <c r="F193" s="8"/>
      <c r="G193" s="8">
        <v>29.9</v>
      </c>
      <c r="H193" s="34"/>
      <c r="I193" s="21"/>
      <c r="J193" s="21"/>
      <c r="K193" s="21"/>
      <c r="L193" s="21"/>
      <c r="M193" s="40"/>
    </row>
    <row r="194" spans="1:13" x14ac:dyDescent="0.25">
      <c r="A194" s="40" t="s">
        <v>277</v>
      </c>
      <c r="B194" s="44" t="s">
        <v>20</v>
      </c>
      <c r="C194" s="16" t="s">
        <v>17</v>
      </c>
      <c r="D194" s="21">
        <f t="shared" si="40"/>
        <v>265.60000000000002</v>
      </c>
      <c r="E194" s="8"/>
      <c r="F194" s="8"/>
      <c r="G194" s="8">
        <f>SUM(G195:G196)</f>
        <v>265.60000000000002</v>
      </c>
      <c r="H194" s="34"/>
      <c r="I194" s="21"/>
      <c r="J194" s="21"/>
      <c r="K194" s="21"/>
      <c r="L194" s="21"/>
      <c r="M194" s="40"/>
    </row>
    <row r="195" spans="1:13" x14ac:dyDescent="0.25">
      <c r="A195" s="40"/>
      <c r="B195" s="44"/>
      <c r="C195" s="16" t="s">
        <v>18</v>
      </c>
      <c r="D195" s="21">
        <f t="shared" si="40"/>
        <v>236.4</v>
      </c>
      <c r="E195" s="8"/>
      <c r="F195" s="8"/>
      <c r="G195" s="8">
        <f>236.3+0.1</f>
        <v>236.4</v>
      </c>
      <c r="H195" s="34"/>
      <c r="I195" s="21"/>
      <c r="J195" s="21"/>
      <c r="K195" s="21"/>
      <c r="L195" s="21"/>
      <c r="M195" s="40"/>
    </row>
    <row r="196" spans="1:13" x14ac:dyDescent="0.25">
      <c r="A196" s="40"/>
      <c r="B196" s="44"/>
      <c r="C196" s="16" t="s">
        <v>19</v>
      </c>
      <c r="D196" s="21">
        <f t="shared" si="40"/>
        <v>29.2</v>
      </c>
      <c r="E196" s="8"/>
      <c r="F196" s="8"/>
      <c r="G196" s="8">
        <v>29.2</v>
      </c>
      <c r="H196" s="34"/>
      <c r="I196" s="21"/>
      <c r="J196" s="21"/>
      <c r="K196" s="21"/>
      <c r="L196" s="21"/>
      <c r="M196" s="40"/>
    </row>
    <row r="197" spans="1:13" x14ac:dyDescent="0.25">
      <c r="A197" s="40" t="s">
        <v>278</v>
      </c>
      <c r="B197" s="44" t="s">
        <v>20</v>
      </c>
      <c r="C197" s="16" t="s">
        <v>17</v>
      </c>
      <c r="D197" s="21">
        <f t="shared" si="40"/>
        <v>248.20000000000002</v>
      </c>
      <c r="E197" s="8"/>
      <c r="F197" s="8"/>
      <c r="G197" s="8">
        <f>SUM(G198:G199)</f>
        <v>248.20000000000002</v>
      </c>
      <c r="H197" s="34"/>
      <c r="I197" s="21"/>
      <c r="J197" s="21"/>
      <c r="K197" s="21"/>
      <c r="L197" s="21"/>
      <c r="M197" s="40"/>
    </row>
    <row r="198" spans="1:13" x14ac:dyDescent="0.25">
      <c r="A198" s="40"/>
      <c r="B198" s="44"/>
      <c r="C198" s="16" t="s">
        <v>18</v>
      </c>
      <c r="D198" s="21">
        <f t="shared" si="40"/>
        <v>220.9</v>
      </c>
      <c r="E198" s="8"/>
      <c r="F198" s="8"/>
      <c r="G198" s="8">
        <v>220.9</v>
      </c>
      <c r="H198" s="34"/>
      <c r="I198" s="21"/>
      <c r="J198" s="21"/>
      <c r="K198" s="21"/>
      <c r="L198" s="21"/>
      <c r="M198" s="40"/>
    </row>
    <row r="199" spans="1:13" x14ac:dyDescent="0.25">
      <c r="A199" s="40"/>
      <c r="B199" s="44"/>
      <c r="C199" s="16" t="s">
        <v>19</v>
      </c>
      <c r="D199" s="21">
        <f t="shared" si="40"/>
        <v>27.3</v>
      </c>
      <c r="E199" s="8"/>
      <c r="F199" s="8"/>
      <c r="G199" s="8">
        <v>27.3</v>
      </c>
      <c r="H199" s="34"/>
      <c r="I199" s="21"/>
      <c r="J199" s="21"/>
      <c r="K199" s="21"/>
      <c r="L199" s="21"/>
      <c r="M199" s="40"/>
    </row>
    <row r="200" spans="1:13" x14ac:dyDescent="0.25">
      <c r="A200" s="40" t="s">
        <v>210</v>
      </c>
      <c r="B200" s="44"/>
      <c r="C200" s="16"/>
      <c r="D200" s="21"/>
      <c r="E200" s="8"/>
      <c r="F200" s="8"/>
      <c r="G200" s="8"/>
      <c r="H200" s="34"/>
      <c r="I200" s="21"/>
      <c r="J200" s="21"/>
      <c r="K200" s="21"/>
      <c r="L200" s="21"/>
      <c r="M200" s="40"/>
    </row>
    <row r="201" spans="1:13" x14ac:dyDescent="0.25">
      <c r="A201" s="40"/>
      <c r="B201" s="44"/>
      <c r="C201" s="16"/>
      <c r="D201" s="21"/>
      <c r="E201" s="8"/>
      <c r="F201" s="8"/>
      <c r="G201" s="8"/>
      <c r="H201" s="34"/>
      <c r="I201" s="21"/>
      <c r="J201" s="21"/>
      <c r="K201" s="21"/>
      <c r="L201" s="21"/>
      <c r="M201" s="40"/>
    </row>
    <row r="202" spans="1:13" x14ac:dyDescent="0.25">
      <c r="A202" s="40"/>
      <c r="B202" s="44"/>
      <c r="C202" s="16"/>
      <c r="D202" s="21"/>
      <c r="E202" s="8"/>
      <c r="F202" s="8"/>
      <c r="G202" s="8"/>
      <c r="H202" s="34"/>
      <c r="I202" s="21"/>
      <c r="J202" s="21"/>
      <c r="K202" s="21"/>
      <c r="L202" s="21"/>
      <c r="M202" s="40"/>
    </row>
    <row r="203" spans="1:13" x14ac:dyDescent="0.25">
      <c r="A203" s="40" t="s">
        <v>211</v>
      </c>
      <c r="B203" s="44"/>
      <c r="C203" s="16"/>
      <c r="D203" s="21"/>
      <c r="E203" s="8"/>
      <c r="F203" s="8"/>
      <c r="G203" s="8"/>
      <c r="H203" s="34"/>
      <c r="I203" s="21"/>
      <c r="J203" s="21"/>
      <c r="K203" s="21"/>
      <c r="L203" s="21"/>
      <c r="M203" s="40"/>
    </row>
    <row r="204" spans="1:13" x14ac:dyDescent="0.25">
      <c r="A204" s="40"/>
      <c r="B204" s="44"/>
      <c r="C204" s="16"/>
      <c r="D204" s="21"/>
      <c r="E204" s="8"/>
      <c r="F204" s="8"/>
      <c r="G204" s="8"/>
      <c r="H204" s="34"/>
      <c r="I204" s="21"/>
      <c r="J204" s="21"/>
      <c r="K204" s="21"/>
      <c r="L204" s="21"/>
      <c r="M204" s="40"/>
    </row>
    <row r="205" spans="1:13" x14ac:dyDescent="0.25">
      <c r="A205" s="40"/>
      <c r="B205" s="44"/>
      <c r="C205" s="16"/>
      <c r="D205" s="21"/>
      <c r="E205" s="8"/>
      <c r="F205" s="8"/>
      <c r="G205" s="8"/>
      <c r="H205" s="34"/>
      <c r="I205" s="21"/>
      <c r="J205" s="21"/>
      <c r="K205" s="21"/>
      <c r="L205" s="21"/>
      <c r="M205" s="40"/>
    </row>
    <row r="206" spans="1:13" x14ac:dyDescent="0.25">
      <c r="A206" s="40" t="s">
        <v>209</v>
      </c>
      <c r="B206" s="44" t="s">
        <v>20</v>
      </c>
      <c r="C206" s="16" t="s">
        <v>17</v>
      </c>
      <c r="D206" s="21">
        <f t="shared" si="40"/>
        <v>238.8</v>
      </c>
      <c r="E206" s="8"/>
      <c r="F206" s="8"/>
      <c r="G206" s="8">
        <f>SUM(G207:G208)</f>
        <v>238.8</v>
      </c>
      <c r="H206" s="34"/>
      <c r="I206" s="21"/>
      <c r="J206" s="21"/>
      <c r="K206" s="21"/>
      <c r="L206" s="21"/>
      <c r="M206" s="40"/>
    </row>
    <row r="207" spans="1:13" x14ac:dyDescent="0.25">
      <c r="A207" s="40"/>
      <c r="B207" s="44"/>
      <c r="C207" s="16" t="s">
        <v>18</v>
      </c>
      <c r="D207" s="21">
        <f t="shared" si="40"/>
        <v>212.5</v>
      </c>
      <c r="E207" s="8"/>
      <c r="F207" s="8"/>
      <c r="G207" s="8">
        <v>212.5</v>
      </c>
      <c r="H207" s="34"/>
      <c r="I207" s="21"/>
      <c r="J207" s="21"/>
      <c r="K207" s="21"/>
      <c r="L207" s="21"/>
      <c r="M207" s="40"/>
    </row>
    <row r="208" spans="1:13" x14ac:dyDescent="0.25">
      <c r="A208" s="40"/>
      <c r="B208" s="44"/>
      <c r="C208" s="16" t="s">
        <v>19</v>
      </c>
      <c r="D208" s="21">
        <f t="shared" si="40"/>
        <v>26.3</v>
      </c>
      <c r="E208" s="8"/>
      <c r="F208" s="8"/>
      <c r="G208" s="8">
        <f>26.2+0.1</f>
        <v>26.3</v>
      </c>
      <c r="H208" s="34"/>
      <c r="I208" s="21"/>
      <c r="J208" s="21"/>
      <c r="K208" s="21"/>
      <c r="L208" s="21"/>
      <c r="M208" s="40"/>
    </row>
    <row r="209" spans="1:13" x14ac:dyDescent="0.25">
      <c r="A209" s="40" t="s">
        <v>279</v>
      </c>
      <c r="B209" s="44" t="s">
        <v>20</v>
      </c>
      <c r="C209" s="16" t="s">
        <v>17</v>
      </c>
      <c r="D209" s="21">
        <f t="shared" si="40"/>
        <v>8</v>
      </c>
      <c r="E209" s="8"/>
      <c r="F209" s="8"/>
      <c r="G209" s="8">
        <f>SUM(G210:G211)</f>
        <v>8</v>
      </c>
      <c r="H209" s="34"/>
      <c r="I209" s="21"/>
      <c r="J209" s="21"/>
      <c r="K209" s="21"/>
      <c r="L209" s="21"/>
      <c r="M209" s="40"/>
    </row>
    <row r="210" spans="1:13" ht="13.8" customHeight="1" x14ac:dyDescent="0.25">
      <c r="A210" s="40"/>
      <c r="B210" s="44"/>
      <c r="C210" s="16" t="s">
        <v>18</v>
      </c>
      <c r="D210" s="21">
        <f t="shared" si="40"/>
        <v>0</v>
      </c>
      <c r="E210" s="8"/>
      <c r="F210" s="8"/>
      <c r="G210" s="8"/>
      <c r="H210" s="34"/>
      <c r="I210" s="21"/>
      <c r="J210" s="21"/>
      <c r="K210" s="21"/>
      <c r="L210" s="21"/>
      <c r="M210" s="40"/>
    </row>
    <row r="211" spans="1:13" x14ac:dyDescent="0.25">
      <c r="A211" s="40"/>
      <c r="B211" s="44"/>
      <c r="C211" s="16" t="s">
        <v>19</v>
      </c>
      <c r="D211" s="21">
        <f t="shared" si="40"/>
        <v>8</v>
      </c>
      <c r="E211" s="8"/>
      <c r="F211" s="8"/>
      <c r="G211" s="8">
        <v>8</v>
      </c>
      <c r="H211" s="34"/>
      <c r="I211" s="21"/>
      <c r="J211" s="21"/>
      <c r="K211" s="21"/>
      <c r="L211" s="21"/>
      <c r="M211" s="40"/>
    </row>
    <row r="212" spans="1:13" x14ac:dyDescent="0.25">
      <c r="A212" s="40" t="s">
        <v>290</v>
      </c>
      <c r="B212" s="44" t="s">
        <v>20</v>
      </c>
      <c r="C212" s="16" t="s">
        <v>17</v>
      </c>
      <c r="D212" s="21">
        <f t="shared" si="40"/>
        <v>298.79999999999995</v>
      </c>
      <c r="E212" s="8"/>
      <c r="F212" s="8"/>
      <c r="G212" s="8"/>
      <c r="H212" s="34">
        <f>SUM(H213:H214)</f>
        <v>298.79999999999995</v>
      </c>
      <c r="I212" s="21"/>
      <c r="J212" s="21"/>
      <c r="K212" s="21"/>
      <c r="L212" s="21"/>
      <c r="M212" s="40"/>
    </row>
    <row r="213" spans="1:13" x14ac:dyDescent="0.25">
      <c r="A213" s="40"/>
      <c r="B213" s="44"/>
      <c r="C213" s="16" t="s">
        <v>18</v>
      </c>
      <c r="D213" s="21">
        <f t="shared" si="40"/>
        <v>265.89999999999998</v>
      </c>
      <c r="E213" s="8"/>
      <c r="F213" s="8"/>
      <c r="G213" s="8"/>
      <c r="H213" s="34">
        <f>271.2-5.3</f>
        <v>265.89999999999998</v>
      </c>
      <c r="I213" s="21"/>
      <c r="J213" s="21"/>
      <c r="K213" s="21"/>
      <c r="L213" s="21"/>
      <c r="M213" s="40"/>
    </row>
    <row r="214" spans="1:13" x14ac:dyDescent="0.25">
      <c r="A214" s="40"/>
      <c r="B214" s="44"/>
      <c r="C214" s="16" t="s">
        <v>19</v>
      </c>
      <c r="D214" s="21">
        <f t="shared" si="40"/>
        <v>32.9</v>
      </c>
      <c r="E214" s="8"/>
      <c r="F214" s="8"/>
      <c r="G214" s="8"/>
      <c r="H214" s="34">
        <f>33.6-0.7</f>
        <v>32.9</v>
      </c>
      <c r="I214" s="21"/>
      <c r="J214" s="21"/>
      <c r="K214" s="21"/>
      <c r="L214" s="21"/>
      <c r="M214" s="40"/>
    </row>
    <row r="215" spans="1:13" x14ac:dyDescent="0.25">
      <c r="A215" s="40" t="s">
        <v>291</v>
      </c>
      <c r="B215" s="44" t="s">
        <v>20</v>
      </c>
      <c r="C215" s="16" t="s">
        <v>17</v>
      </c>
      <c r="D215" s="21">
        <f t="shared" si="40"/>
        <v>456.56099999999998</v>
      </c>
      <c r="E215" s="8"/>
      <c r="F215" s="8"/>
      <c r="G215" s="8"/>
      <c r="H215" s="34"/>
      <c r="I215" s="21">
        <f>SUM(I216:I217)</f>
        <v>456.56099999999998</v>
      </c>
      <c r="J215" s="21"/>
      <c r="K215" s="21"/>
      <c r="L215" s="21"/>
      <c r="M215" s="40"/>
    </row>
    <row r="216" spans="1:13" x14ac:dyDescent="0.25">
      <c r="A216" s="40"/>
      <c r="B216" s="44"/>
      <c r="C216" s="16" t="s">
        <v>18</v>
      </c>
      <c r="D216" s="21">
        <f t="shared" si="40"/>
        <v>0</v>
      </c>
      <c r="E216" s="8"/>
      <c r="F216" s="8"/>
      <c r="G216" s="8"/>
      <c r="H216" s="34"/>
      <c r="I216" s="21"/>
      <c r="J216" s="21"/>
      <c r="K216" s="21"/>
      <c r="L216" s="21"/>
      <c r="M216" s="40"/>
    </row>
    <row r="217" spans="1:13" x14ac:dyDescent="0.25">
      <c r="A217" s="40"/>
      <c r="B217" s="44"/>
      <c r="C217" s="16" t="s">
        <v>19</v>
      </c>
      <c r="D217" s="21">
        <f t="shared" si="40"/>
        <v>456.56099999999998</v>
      </c>
      <c r="E217" s="8"/>
      <c r="F217" s="8"/>
      <c r="G217" s="8"/>
      <c r="H217" s="34"/>
      <c r="I217" s="21">
        <v>456.56099999999998</v>
      </c>
      <c r="J217" s="21"/>
      <c r="K217" s="21"/>
      <c r="L217" s="21"/>
      <c r="M217" s="40"/>
    </row>
    <row r="218" spans="1:13" x14ac:dyDescent="0.25">
      <c r="A218" s="40" t="s">
        <v>292</v>
      </c>
      <c r="B218" s="44" t="s">
        <v>20</v>
      </c>
      <c r="C218" s="16" t="s">
        <v>17</v>
      </c>
      <c r="D218" s="21">
        <f t="shared" si="40"/>
        <v>205.14009999999999</v>
      </c>
      <c r="E218" s="8"/>
      <c r="F218" s="8"/>
      <c r="G218" s="8"/>
      <c r="H218" s="34"/>
      <c r="I218" s="21">
        <f>SUM(I219:I220)</f>
        <v>205.14009999999999</v>
      </c>
      <c r="J218" s="21"/>
      <c r="K218" s="21"/>
      <c r="L218" s="21"/>
      <c r="M218" s="40"/>
    </row>
    <row r="219" spans="1:13" x14ac:dyDescent="0.25">
      <c r="A219" s="40"/>
      <c r="B219" s="44"/>
      <c r="C219" s="16" t="s">
        <v>18</v>
      </c>
      <c r="D219" s="21">
        <f t="shared" si="40"/>
        <v>0</v>
      </c>
      <c r="E219" s="8"/>
      <c r="F219" s="8"/>
      <c r="G219" s="8"/>
      <c r="H219" s="34"/>
      <c r="I219" s="21"/>
      <c r="J219" s="21"/>
      <c r="K219" s="21"/>
      <c r="L219" s="21"/>
      <c r="M219" s="40"/>
    </row>
    <row r="220" spans="1:13" x14ac:dyDescent="0.25">
      <c r="A220" s="40"/>
      <c r="B220" s="44"/>
      <c r="C220" s="16" t="s">
        <v>19</v>
      </c>
      <c r="D220" s="21">
        <f t="shared" si="40"/>
        <v>205.14009999999999</v>
      </c>
      <c r="E220" s="8"/>
      <c r="F220" s="8"/>
      <c r="G220" s="8"/>
      <c r="H220" s="34"/>
      <c r="I220" s="21">
        <v>205.14009999999999</v>
      </c>
      <c r="J220" s="21"/>
      <c r="K220" s="21"/>
      <c r="L220" s="21"/>
      <c r="M220" s="40"/>
    </row>
    <row r="221" spans="1:13" x14ac:dyDescent="0.25">
      <c r="A221" s="40" t="s">
        <v>328</v>
      </c>
      <c r="B221" s="44" t="s">
        <v>20</v>
      </c>
      <c r="C221" s="16" t="s">
        <v>17</v>
      </c>
      <c r="D221" s="21">
        <f t="shared" si="40"/>
        <v>68.401870000000002</v>
      </c>
      <c r="E221" s="8"/>
      <c r="F221" s="8"/>
      <c r="G221" s="8"/>
      <c r="H221" s="34"/>
      <c r="I221" s="21">
        <f>SUM(I222:I223)</f>
        <v>68.401870000000002</v>
      </c>
      <c r="J221" s="21"/>
      <c r="K221" s="21"/>
      <c r="L221" s="21"/>
      <c r="M221" s="40"/>
    </row>
    <row r="222" spans="1:13" x14ac:dyDescent="0.25">
      <c r="A222" s="40"/>
      <c r="B222" s="44"/>
      <c r="C222" s="16" t="s">
        <v>18</v>
      </c>
      <c r="D222" s="21">
        <f t="shared" si="40"/>
        <v>0</v>
      </c>
      <c r="E222" s="8"/>
      <c r="F222" s="8"/>
      <c r="G222" s="8"/>
      <c r="H222" s="34"/>
      <c r="I222" s="21"/>
      <c r="J222" s="21"/>
      <c r="K222" s="21"/>
      <c r="L222" s="21"/>
      <c r="M222" s="40"/>
    </row>
    <row r="223" spans="1:13" x14ac:dyDescent="0.25">
      <c r="A223" s="40"/>
      <c r="B223" s="44"/>
      <c r="C223" s="16" t="s">
        <v>19</v>
      </c>
      <c r="D223" s="21">
        <f t="shared" si="40"/>
        <v>68.401870000000002</v>
      </c>
      <c r="E223" s="8"/>
      <c r="F223" s="8"/>
      <c r="G223" s="8"/>
      <c r="H223" s="34"/>
      <c r="I223" s="21">
        <v>68.401870000000002</v>
      </c>
      <c r="J223" s="21"/>
      <c r="K223" s="21"/>
      <c r="L223" s="21"/>
      <c r="M223" s="40"/>
    </row>
    <row r="224" spans="1:13" x14ac:dyDescent="0.25">
      <c r="A224" s="40" t="s">
        <v>339</v>
      </c>
      <c r="B224" s="44" t="s">
        <v>20</v>
      </c>
      <c r="C224" s="16" t="s">
        <v>17</v>
      </c>
      <c r="D224" s="21">
        <f t="shared" si="40"/>
        <v>88.883420000000001</v>
      </c>
      <c r="E224" s="8"/>
      <c r="F224" s="8"/>
      <c r="G224" s="8"/>
      <c r="H224" s="34"/>
      <c r="I224" s="21">
        <f>SUM(I225:I226)</f>
        <v>88.883420000000001</v>
      </c>
      <c r="J224" s="21"/>
      <c r="K224" s="21"/>
      <c r="L224" s="21"/>
      <c r="M224" s="40"/>
    </row>
    <row r="225" spans="1:13" x14ac:dyDescent="0.25">
      <c r="A225" s="40"/>
      <c r="B225" s="44"/>
      <c r="C225" s="16" t="s">
        <v>18</v>
      </c>
      <c r="D225" s="21">
        <f t="shared" si="40"/>
        <v>0</v>
      </c>
      <c r="E225" s="8"/>
      <c r="F225" s="8"/>
      <c r="G225" s="8"/>
      <c r="H225" s="34"/>
      <c r="I225" s="21"/>
      <c r="J225" s="21"/>
      <c r="K225" s="21"/>
      <c r="L225" s="21"/>
      <c r="M225" s="40"/>
    </row>
    <row r="226" spans="1:13" x14ac:dyDescent="0.25">
      <c r="A226" s="40"/>
      <c r="B226" s="44"/>
      <c r="C226" s="16" t="s">
        <v>19</v>
      </c>
      <c r="D226" s="21">
        <f t="shared" si="40"/>
        <v>88.883420000000001</v>
      </c>
      <c r="E226" s="8"/>
      <c r="F226" s="8"/>
      <c r="G226" s="8"/>
      <c r="H226" s="34"/>
      <c r="I226" s="21">
        <v>88.883420000000001</v>
      </c>
      <c r="J226" s="21"/>
      <c r="K226" s="21"/>
      <c r="L226" s="21"/>
      <c r="M226" s="40"/>
    </row>
    <row r="227" spans="1:13" x14ac:dyDescent="0.25">
      <c r="A227" s="40" t="s">
        <v>337</v>
      </c>
      <c r="B227" s="44" t="s">
        <v>20</v>
      </c>
      <c r="C227" s="16" t="s">
        <v>17</v>
      </c>
      <c r="D227" s="21">
        <f t="shared" ref="D227:D232" si="41">SUM(E227:L227)</f>
        <v>209.64182</v>
      </c>
      <c r="E227" s="8"/>
      <c r="F227" s="8"/>
      <c r="G227" s="8"/>
      <c r="H227" s="34"/>
      <c r="I227" s="21">
        <f>SUM(I228:I229)</f>
        <v>209.64182</v>
      </c>
      <c r="J227" s="21"/>
      <c r="K227" s="21"/>
      <c r="L227" s="21"/>
      <c r="M227" s="40"/>
    </row>
    <row r="228" spans="1:13" x14ac:dyDescent="0.25">
      <c r="A228" s="40"/>
      <c r="B228" s="44"/>
      <c r="C228" s="16" t="s">
        <v>18</v>
      </c>
      <c r="D228" s="21">
        <f t="shared" si="41"/>
        <v>0</v>
      </c>
      <c r="E228" s="8"/>
      <c r="F228" s="8"/>
      <c r="G228" s="8"/>
      <c r="H228" s="34"/>
      <c r="I228" s="21"/>
      <c r="J228" s="21"/>
      <c r="K228" s="21"/>
      <c r="L228" s="21"/>
      <c r="M228" s="40"/>
    </row>
    <row r="229" spans="1:13" x14ac:dyDescent="0.25">
      <c r="A229" s="40"/>
      <c r="B229" s="44"/>
      <c r="C229" s="16" t="s">
        <v>19</v>
      </c>
      <c r="D229" s="21">
        <f t="shared" si="41"/>
        <v>209.64182</v>
      </c>
      <c r="E229" s="8"/>
      <c r="F229" s="8"/>
      <c r="G229" s="8"/>
      <c r="H229" s="34"/>
      <c r="I229" s="21">
        <v>209.64182</v>
      </c>
      <c r="J229" s="21"/>
      <c r="K229" s="21"/>
      <c r="L229" s="21"/>
      <c r="M229" s="40"/>
    </row>
    <row r="230" spans="1:13" x14ac:dyDescent="0.25">
      <c r="A230" s="40" t="s">
        <v>338</v>
      </c>
      <c r="B230" s="44" t="s">
        <v>20</v>
      </c>
      <c r="C230" s="16" t="s">
        <v>17</v>
      </c>
      <c r="D230" s="21">
        <f t="shared" si="41"/>
        <v>220.60811000000001</v>
      </c>
      <c r="E230" s="8"/>
      <c r="F230" s="8"/>
      <c r="G230" s="8"/>
      <c r="H230" s="34"/>
      <c r="I230" s="21">
        <f>SUM(I231:I232)</f>
        <v>220.60811000000001</v>
      </c>
      <c r="J230" s="21"/>
      <c r="K230" s="21"/>
      <c r="L230" s="21"/>
      <c r="M230" s="40"/>
    </row>
    <row r="231" spans="1:13" x14ac:dyDescent="0.25">
      <c r="A231" s="40"/>
      <c r="B231" s="44"/>
      <c r="C231" s="16" t="s">
        <v>18</v>
      </c>
      <c r="D231" s="21">
        <f t="shared" si="41"/>
        <v>0</v>
      </c>
      <c r="E231" s="8"/>
      <c r="F231" s="8"/>
      <c r="G231" s="8"/>
      <c r="H231" s="34"/>
      <c r="I231" s="21"/>
      <c r="J231" s="21"/>
      <c r="K231" s="21"/>
      <c r="L231" s="21"/>
      <c r="M231" s="40"/>
    </row>
    <row r="232" spans="1:13" x14ac:dyDescent="0.25">
      <c r="A232" s="40"/>
      <c r="B232" s="44"/>
      <c r="C232" s="16" t="s">
        <v>19</v>
      </c>
      <c r="D232" s="21">
        <f t="shared" si="41"/>
        <v>220.60811000000001</v>
      </c>
      <c r="E232" s="8"/>
      <c r="F232" s="8"/>
      <c r="G232" s="8"/>
      <c r="H232" s="34"/>
      <c r="I232" s="21">
        <v>220.60811000000001</v>
      </c>
      <c r="J232" s="21"/>
      <c r="K232" s="21"/>
      <c r="L232" s="21"/>
      <c r="M232" s="40"/>
    </row>
    <row r="233" spans="1:13" ht="57.6" customHeight="1" x14ac:dyDescent="0.25">
      <c r="A233" s="17" t="s">
        <v>230</v>
      </c>
      <c r="B233" s="16" t="s">
        <v>20</v>
      </c>
      <c r="C233" s="16" t="s">
        <v>16</v>
      </c>
      <c r="D233" s="20">
        <f>SUM(E233:L233)</f>
        <v>0</v>
      </c>
      <c r="E233" s="6"/>
      <c r="F233" s="6"/>
      <c r="G233" s="6"/>
      <c r="H233" s="33">
        <f>14.8-14.8</f>
        <v>0</v>
      </c>
      <c r="I233" s="20"/>
      <c r="J233" s="20"/>
      <c r="K233" s="20"/>
      <c r="L233" s="20"/>
      <c r="M233" s="23" t="s">
        <v>231</v>
      </c>
    </row>
    <row r="234" spans="1:13" ht="20.399999999999999" x14ac:dyDescent="0.25">
      <c r="A234" s="17" t="s">
        <v>232</v>
      </c>
      <c r="B234" s="16" t="s">
        <v>20</v>
      </c>
      <c r="C234" s="16" t="s">
        <v>16</v>
      </c>
      <c r="D234" s="20">
        <f t="shared" ref="D234" si="42">SUM(E234:L234)</f>
        <v>273.29999999999995</v>
      </c>
      <c r="E234" s="6"/>
      <c r="F234" s="6"/>
      <c r="G234" s="6"/>
      <c r="H234" s="33">
        <f>348.2-74.9</f>
        <v>273.29999999999995</v>
      </c>
      <c r="I234" s="20"/>
      <c r="J234" s="20"/>
      <c r="K234" s="20"/>
      <c r="L234" s="20"/>
      <c r="M234" s="23" t="s">
        <v>143</v>
      </c>
    </row>
    <row r="235" spans="1:13" x14ac:dyDescent="0.25">
      <c r="A235" s="42" t="s">
        <v>305</v>
      </c>
      <c r="B235" s="44" t="s">
        <v>20</v>
      </c>
      <c r="C235" s="16" t="s">
        <v>17</v>
      </c>
      <c r="D235" s="21">
        <f t="shared" ref="D235:D244" si="43">SUM(E235:L235)</f>
        <v>12.1</v>
      </c>
      <c r="E235" s="8"/>
      <c r="F235" s="8"/>
      <c r="G235" s="6">
        <f>SUM(G236:G237)</f>
        <v>12.1</v>
      </c>
      <c r="H235" s="34"/>
      <c r="I235" s="21"/>
      <c r="J235" s="21"/>
      <c r="K235" s="21"/>
      <c r="L235" s="21"/>
      <c r="M235" s="40" t="s">
        <v>306</v>
      </c>
    </row>
    <row r="236" spans="1:13" x14ac:dyDescent="0.25">
      <c r="A236" s="42"/>
      <c r="B236" s="44"/>
      <c r="C236" s="16" t="s">
        <v>18</v>
      </c>
      <c r="D236" s="21">
        <f t="shared" si="43"/>
        <v>11.4</v>
      </c>
      <c r="E236" s="8"/>
      <c r="F236" s="8"/>
      <c r="G236" s="6">
        <v>11.4</v>
      </c>
      <c r="H236" s="34"/>
      <c r="I236" s="21"/>
      <c r="J236" s="21"/>
      <c r="K236" s="21"/>
      <c r="L236" s="21"/>
      <c r="M236" s="40"/>
    </row>
    <row r="237" spans="1:13" x14ac:dyDescent="0.25">
      <c r="A237" s="42"/>
      <c r="B237" s="44"/>
      <c r="C237" s="16" t="s">
        <v>19</v>
      </c>
      <c r="D237" s="21">
        <f t="shared" si="43"/>
        <v>0.7</v>
      </c>
      <c r="E237" s="8"/>
      <c r="F237" s="8"/>
      <c r="G237" s="6">
        <v>0.7</v>
      </c>
      <c r="H237" s="34"/>
      <c r="I237" s="21"/>
      <c r="J237" s="21"/>
      <c r="K237" s="21"/>
      <c r="L237" s="21"/>
      <c r="M237" s="40"/>
    </row>
    <row r="238" spans="1:13" ht="31.8" customHeight="1" x14ac:dyDescent="0.25">
      <c r="A238" s="17" t="s">
        <v>307</v>
      </c>
      <c r="B238" s="16" t="s">
        <v>20</v>
      </c>
      <c r="C238" s="16" t="s">
        <v>16</v>
      </c>
      <c r="D238" s="20">
        <f>SUM(E238:L238)</f>
        <v>132.30000000000001</v>
      </c>
      <c r="E238" s="8"/>
      <c r="F238" s="8"/>
      <c r="G238" s="8"/>
      <c r="H238" s="34">
        <v>132.30000000000001</v>
      </c>
      <c r="I238" s="21"/>
      <c r="J238" s="21"/>
      <c r="K238" s="21"/>
      <c r="L238" s="21"/>
      <c r="M238" s="23" t="s">
        <v>312</v>
      </c>
    </row>
    <row r="239" spans="1:13" ht="39" customHeight="1" x14ac:dyDescent="0.25">
      <c r="A239" s="17" t="s">
        <v>330</v>
      </c>
      <c r="B239" s="16" t="s">
        <v>20</v>
      </c>
      <c r="C239" s="16" t="s">
        <v>16</v>
      </c>
      <c r="D239" s="20">
        <f>SUM(E239:L239)</f>
        <v>209</v>
      </c>
      <c r="E239" s="8"/>
      <c r="F239" s="8"/>
      <c r="G239" s="8"/>
      <c r="H239" s="34"/>
      <c r="I239" s="21">
        <v>209</v>
      </c>
      <c r="J239" s="21"/>
      <c r="K239" s="21"/>
      <c r="L239" s="21"/>
      <c r="M239" s="23" t="s">
        <v>349</v>
      </c>
    </row>
    <row r="240" spans="1:13" ht="31.8" customHeight="1" x14ac:dyDescent="0.25">
      <c r="A240" s="17" t="s">
        <v>331</v>
      </c>
      <c r="B240" s="16" t="s">
        <v>20</v>
      </c>
      <c r="C240" s="16" t="s">
        <v>16</v>
      </c>
      <c r="D240" s="20">
        <f>SUM(E240:L240)</f>
        <v>182.875</v>
      </c>
      <c r="E240" s="8"/>
      <c r="F240" s="8"/>
      <c r="G240" s="8"/>
      <c r="H240" s="34"/>
      <c r="I240" s="21">
        <v>182.875</v>
      </c>
      <c r="J240" s="21"/>
      <c r="K240" s="21"/>
      <c r="L240" s="21"/>
      <c r="M240" s="23" t="s">
        <v>350</v>
      </c>
    </row>
    <row r="241" spans="1:13" ht="31.8" customHeight="1" x14ac:dyDescent="0.25">
      <c r="A241" s="17" t="s">
        <v>332</v>
      </c>
      <c r="B241" s="16" t="s">
        <v>20</v>
      </c>
      <c r="C241" s="16" t="s">
        <v>16</v>
      </c>
      <c r="D241" s="20">
        <f>SUM(E241:L241)</f>
        <v>182.875</v>
      </c>
      <c r="E241" s="8"/>
      <c r="F241" s="8"/>
      <c r="G241" s="8"/>
      <c r="H241" s="34"/>
      <c r="I241" s="21">
        <v>182.875</v>
      </c>
      <c r="J241" s="21"/>
      <c r="K241" s="21"/>
      <c r="L241" s="21"/>
      <c r="M241" s="23" t="s">
        <v>351</v>
      </c>
    </row>
    <row r="242" spans="1:13" x14ac:dyDescent="0.25">
      <c r="A242" s="43" t="s">
        <v>27</v>
      </c>
      <c r="B242" s="43"/>
      <c r="C242" s="43"/>
      <c r="D242" s="20">
        <f t="shared" si="43"/>
        <v>570736.38459999999</v>
      </c>
      <c r="E242" s="6">
        <f>SUM(E243:E244)</f>
        <v>64283.6</v>
      </c>
      <c r="F242" s="6">
        <f t="shared" ref="F242:L242" si="44">SUM(F243:F244)</f>
        <v>72826</v>
      </c>
      <c r="G242" s="6">
        <f t="shared" si="44"/>
        <v>82521.399999999994</v>
      </c>
      <c r="H242" s="33">
        <f t="shared" si="44"/>
        <v>83688.799999999988</v>
      </c>
      <c r="I242" s="20">
        <f t="shared" si="44"/>
        <v>70230.088520000005</v>
      </c>
      <c r="J242" s="20">
        <f t="shared" si="44"/>
        <v>54366.823470000003</v>
      </c>
      <c r="K242" s="20">
        <f t="shared" si="44"/>
        <v>54997.636379999996</v>
      </c>
      <c r="L242" s="20">
        <f t="shared" si="44"/>
        <v>87822.036230000012</v>
      </c>
      <c r="M242" s="22"/>
    </row>
    <row r="243" spans="1:13" x14ac:dyDescent="0.25">
      <c r="A243" s="43" t="s">
        <v>18</v>
      </c>
      <c r="B243" s="43"/>
      <c r="C243" s="43"/>
      <c r="D243" s="20">
        <f t="shared" si="43"/>
        <v>152037.29999999999</v>
      </c>
      <c r="E243" s="6">
        <f>SUM(SUMIFS(E22:E25,$C$22:$C$25,"*областной бюджет*"),SUMIFS(E63:E65,$C$63:$C$65,"*областной бюджет*"),SUMIFS(E79:E81,$C$79:$C$81,"*областной бюджет*"),SUMIFS(E121:E123,$C$121:$C$123,"*областной бюджет*"),SUMIFS(E141:E143,$C$141:$C$143,"*областной бюджет*"),SUMIFS(E153:E154,$C$153:$C$154,"*областной бюджет*"),SUMIFS(E162,$C$162,"*областной бюджет*"),SUMIFS(E172,$C$172,"*областной бюджет*"),SUMIFS(E176:E187,$C$176:$C$187,"*областной бюджет*"),SUMIFS(E233:E241,$C$233:$C$241,"*областной бюджет*"))</f>
        <v>11820</v>
      </c>
      <c r="F243" s="6">
        <f t="shared" ref="F243:L243" si="45">SUM(SUMIFS(F22:F25,$C$22:$C$25,"*областной бюджет*"),SUMIFS(F63:F65,$C$63:$C$65,"*областной бюджет*"),SUMIFS(F79:F81,$C$79:$C$81,"*областной бюджет*"),SUMIFS(F121:F123,$C$121:$C$123,"*областной бюджет*"),SUMIFS(F141:F143,$C$141:$C$143,"*областной бюджет*"),SUMIFS(F153:F154,$C$153:$C$154,"*областной бюджет*"),SUMIFS(F162,$C$162,"*областной бюджет*"),SUMIFS(F172,$C$172,"*областной бюджет*"),SUMIFS(F176:F187,$C$176:$C$187,"*областной бюджет*"),SUMIFS(F233:F241,$C$233:$C$241,"*областной бюджет*"))</f>
        <v>22623.3</v>
      </c>
      <c r="G243" s="6">
        <f t="shared" si="45"/>
        <v>31927.300000000003</v>
      </c>
      <c r="H243" s="33">
        <f t="shared" si="45"/>
        <v>27869.5</v>
      </c>
      <c r="I243" s="20">
        <f t="shared" si="45"/>
        <v>14208</v>
      </c>
      <c r="J243" s="20">
        <f t="shared" si="45"/>
        <v>14527.2</v>
      </c>
      <c r="K243" s="20">
        <f t="shared" si="45"/>
        <v>14854</v>
      </c>
      <c r="L243" s="20">
        <f t="shared" si="45"/>
        <v>14208</v>
      </c>
      <c r="M243" s="12"/>
    </row>
    <row r="244" spans="1:13" x14ac:dyDescent="0.25">
      <c r="A244" s="43" t="s">
        <v>19</v>
      </c>
      <c r="B244" s="43"/>
      <c r="C244" s="43"/>
      <c r="D244" s="20">
        <f t="shared" si="43"/>
        <v>418699.0846</v>
      </c>
      <c r="E244" s="6">
        <f>SUM(SUMIFS(E22:E25,$C$22:$C$25,"*местный бюджет*"),SUMIFS(E63:E65,$C$63:$C$65,"*местный бюджет*"),SUMIFS(E79:E81,$C$79:$C$81,"*местный бюджет*"),SUMIFS(E121:E123,$C$121:$C$123,"*местный бюджет*"),SUMIFS(E141:E143,$C$141:$C$143,"*местный бюджет*"),SUMIFS(E153:E154,$C$153:$C$154,"*местный бюджет*"),SUMIFS(E162,$C$162,"*местный бюджет*"),SUMIFS(E172,$C$172,"*местный бюджет*"),SUMIFS(E176:E187,$C$176:$C$187,"*местный бюджет*"),SUMIFS(E233:E241,$C$233:$C$241,"*местный бюджет*"))</f>
        <v>52463.6</v>
      </c>
      <c r="F244" s="6">
        <f t="shared" ref="F244:L244" si="46">SUM(SUMIFS(F22:F25,$C$22:$C$25,"*местный бюджет*"),SUMIFS(F63:F65,$C$63:$C$65,"*местный бюджет*"),SUMIFS(F79:F81,$C$79:$C$81,"*местный бюджет*"),SUMIFS(F121:F123,$C$121:$C$123,"*местный бюджет*"),SUMIFS(F141:F143,$C$141:$C$143,"*местный бюджет*"),SUMIFS(F153:F154,$C$153:$C$154,"*местный бюджет*"),SUMIFS(F162,$C$162,"*местный бюджет*"),SUMIFS(F172,$C$172,"*местный бюджет*"),SUMIFS(F176:F187,$C$176:$C$187,"*местный бюджет*"),SUMIFS(F233:F241,$C$233:$C$241,"*местный бюджет*"))</f>
        <v>50202.7</v>
      </c>
      <c r="G244" s="6">
        <f t="shared" si="46"/>
        <v>50594.1</v>
      </c>
      <c r="H244" s="33">
        <f t="shared" si="46"/>
        <v>55819.299999999988</v>
      </c>
      <c r="I244" s="20">
        <f t="shared" si="46"/>
        <v>56022.088520000005</v>
      </c>
      <c r="J244" s="20">
        <f t="shared" si="46"/>
        <v>39839.623469999999</v>
      </c>
      <c r="K244" s="20">
        <f t="shared" si="46"/>
        <v>40143.636379999996</v>
      </c>
      <c r="L244" s="20">
        <f t="shared" si="46"/>
        <v>73614.036230000012</v>
      </c>
      <c r="M244" s="22"/>
    </row>
    <row r="245" spans="1:13" x14ac:dyDescent="0.25">
      <c r="A245" s="42" t="s">
        <v>26</v>
      </c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</row>
    <row r="246" spans="1:13" ht="20.399999999999999" x14ac:dyDescent="0.25">
      <c r="A246" s="17" t="s">
        <v>28</v>
      </c>
      <c r="B246" s="16" t="s">
        <v>237</v>
      </c>
      <c r="C246" s="16" t="s">
        <v>16</v>
      </c>
      <c r="D246" s="20">
        <f t="shared" ref="D246:D251" si="47">SUM(E246:L246)</f>
        <v>43410.734540000005</v>
      </c>
      <c r="E246" s="6">
        <v>4899.3</v>
      </c>
      <c r="F246" s="6">
        <v>5095.2</v>
      </c>
      <c r="G246" s="6">
        <v>5949.6</v>
      </c>
      <c r="H246" s="33">
        <f>6170+150.4</f>
        <v>6320.4</v>
      </c>
      <c r="I246" s="20">
        <v>6573.1172699999997</v>
      </c>
      <c r="J246" s="20">
        <v>4000</v>
      </c>
      <c r="K246" s="20">
        <v>4000</v>
      </c>
      <c r="L246" s="20">
        <v>6573.1172699999997</v>
      </c>
      <c r="M246" s="23" t="s">
        <v>144</v>
      </c>
    </row>
    <row r="247" spans="1:13" ht="20.399999999999999" x14ac:dyDescent="0.25">
      <c r="A247" s="17" t="s">
        <v>29</v>
      </c>
      <c r="B247" s="16" t="s">
        <v>20</v>
      </c>
      <c r="C247" s="16" t="s">
        <v>16</v>
      </c>
      <c r="D247" s="20">
        <f t="shared" si="47"/>
        <v>385.70627999999999</v>
      </c>
      <c r="E247" s="6">
        <v>60.2</v>
      </c>
      <c r="F247" s="6">
        <v>62.6</v>
      </c>
      <c r="G247" s="6">
        <v>62.7</v>
      </c>
      <c r="H247" s="33">
        <v>65</v>
      </c>
      <c r="I247" s="20">
        <v>67.603139999999996</v>
      </c>
      <c r="J247" s="20"/>
      <c r="K247" s="20"/>
      <c r="L247" s="20">
        <v>67.603139999999996</v>
      </c>
      <c r="M247" s="23" t="s">
        <v>145</v>
      </c>
    </row>
    <row r="248" spans="1:13" ht="20.399999999999999" x14ac:dyDescent="0.25">
      <c r="A248" s="17" t="s">
        <v>30</v>
      </c>
      <c r="B248" s="16" t="s">
        <v>237</v>
      </c>
      <c r="C248" s="16" t="s">
        <v>16</v>
      </c>
      <c r="D248" s="20">
        <f t="shared" si="47"/>
        <v>670.99031999999988</v>
      </c>
      <c r="E248" s="6">
        <v>60</v>
      </c>
      <c r="F248" s="6">
        <v>60</v>
      </c>
      <c r="G248" s="6">
        <v>86.5</v>
      </c>
      <c r="H248" s="33">
        <v>90</v>
      </c>
      <c r="I248" s="20">
        <v>93.622579999999999</v>
      </c>
      <c r="J248" s="20">
        <v>93.622579999999999</v>
      </c>
      <c r="K248" s="20">
        <v>93.622579999999999</v>
      </c>
      <c r="L248" s="20">
        <v>93.622579999999999</v>
      </c>
      <c r="M248" s="23" t="s">
        <v>146</v>
      </c>
    </row>
    <row r="249" spans="1:13" ht="20.399999999999999" x14ac:dyDescent="0.25">
      <c r="A249" s="17" t="s">
        <v>31</v>
      </c>
      <c r="B249" s="16" t="s">
        <v>20</v>
      </c>
      <c r="C249" s="16" t="s">
        <v>16</v>
      </c>
      <c r="D249" s="20">
        <f t="shared" si="47"/>
        <v>33.799999999999997</v>
      </c>
      <c r="E249" s="6"/>
      <c r="F249" s="6"/>
      <c r="G249" s="6"/>
      <c r="H249" s="33"/>
      <c r="I249" s="20"/>
      <c r="J249" s="20"/>
      <c r="K249" s="20"/>
      <c r="L249" s="20">
        <v>33.799999999999997</v>
      </c>
      <c r="M249" s="23" t="s">
        <v>147</v>
      </c>
    </row>
    <row r="250" spans="1:13" ht="20.399999999999999" x14ac:dyDescent="0.25">
      <c r="A250" s="17" t="s">
        <v>274</v>
      </c>
      <c r="B250" s="16"/>
      <c r="C250" s="16" t="s">
        <v>16</v>
      </c>
      <c r="D250" s="20">
        <f>SUM(E250:L250)</f>
        <v>17530.900000000001</v>
      </c>
      <c r="E250" s="6">
        <f>SUM(E251:E267)</f>
        <v>0</v>
      </c>
      <c r="F250" s="6">
        <f t="shared" ref="F250:L250" si="48">SUM(F251:F267)</f>
        <v>0</v>
      </c>
      <c r="G250" s="6">
        <f t="shared" si="48"/>
        <v>0</v>
      </c>
      <c r="H250" s="33">
        <f t="shared" si="48"/>
        <v>8664.7999999999993</v>
      </c>
      <c r="I250" s="20">
        <f t="shared" si="48"/>
        <v>0</v>
      </c>
      <c r="J250" s="20">
        <f t="shared" si="48"/>
        <v>0</v>
      </c>
      <c r="K250" s="20">
        <f t="shared" si="48"/>
        <v>0</v>
      </c>
      <c r="L250" s="20">
        <f t="shared" si="48"/>
        <v>8866.1</v>
      </c>
      <c r="M250" s="40" t="s">
        <v>148</v>
      </c>
    </row>
    <row r="251" spans="1:13" ht="20.399999999999999" x14ac:dyDescent="0.25">
      <c r="A251" s="15" t="s">
        <v>298</v>
      </c>
      <c r="B251" s="16" t="s">
        <v>237</v>
      </c>
      <c r="C251" s="16" t="s">
        <v>16</v>
      </c>
      <c r="D251" s="21">
        <f t="shared" si="47"/>
        <v>7350</v>
      </c>
      <c r="E251" s="8"/>
      <c r="F251" s="8"/>
      <c r="G251" s="8"/>
      <c r="H251" s="34">
        <f>7500-150</f>
        <v>7350</v>
      </c>
      <c r="I251" s="21"/>
      <c r="J251" s="21"/>
      <c r="K251" s="21"/>
      <c r="L251" s="21"/>
      <c r="M251" s="40"/>
    </row>
    <row r="252" spans="1:13" ht="20.399999999999999" x14ac:dyDescent="0.25">
      <c r="A252" s="15" t="s">
        <v>32</v>
      </c>
      <c r="B252" s="16" t="s">
        <v>237</v>
      </c>
      <c r="C252" s="16" t="s">
        <v>16</v>
      </c>
      <c r="D252" s="21">
        <f t="shared" ref="D252:D258" si="49">SUM(E252:L252)</f>
        <v>2950</v>
      </c>
      <c r="E252" s="8"/>
      <c r="F252" s="8"/>
      <c r="G252" s="8"/>
      <c r="H252" s="34"/>
      <c r="I252" s="21"/>
      <c r="J252" s="21"/>
      <c r="K252" s="21"/>
      <c r="L252" s="21">
        <v>2950</v>
      </c>
      <c r="M252" s="40"/>
    </row>
    <row r="253" spans="1:13" x14ac:dyDescent="0.25">
      <c r="A253" s="15" t="s">
        <v>33</v>
      </c>
      <c r="B253" s="16" t="s">
        <v>241</v>
      </c>
      <c r="C253" s="16" t="s">
        <v>16</v>
      </c>
      <c r="D253" s="21">
        <f t="shared" si="49"/>
        <v>3400</v>
      </c>
      <c r="E253" s="8"/>
      <c r="F253" s="8"/>
      <c r="G253" s="8"/>
      <c r="H253" s="34"/>
      <c r="I253" s="21"/>
      <c r="J253" s="21"/>
      <c r="K253" s="21"/>
      <c r="L253" s="21">
        <v>3400</v>
      </c>
      <c r="M253" s="40"/>
    </row>
    <row r="254" spans="1:13" ht="20.399999999999999" x14ac:dyDescent="0.25">
      <c r="A254" s="15" t="s">
        <v>34</v>
      </c>
      <c r="B254" s="16" t="s">
        <v>237</v>
      </c>
      <c r="C254" s="16" t="s">
        <v>16</v>
      </c>
      <c r="D254" s="21">
        <f t="shared" si="49"/>
        <v>2069.1</v>
      </c>
      <c r="E254" s="8"/>
      <c r="F254" s="8"/>
      <c r="G254" s="8"/>
      <c r="H254" s="34"/>
      <c r="I254" s="21"/>
      <c r="J254" s="21"/>
      <c r="K254" s="21"/>
      <c r="L254" s="21">
        <v>2069.1</v>
      </c>
      <c r="M254" s="40"/>
    </row>
    <row r="255" spans="1:13" ht="20.399999999999999" x14ac:dyDescent="0.25">
      <c r="A255" s="15" t="s">
        <v>35</v>
      </c>
      <c r="B255" s="16" t="s">
        <v>237</v>
      </c>
      <c r="C255" s="16" t="s">
        <v>16</v>
      </c>
      <c r="D255" s="21">
        <f t="shared" si="49"/>
        <v>86</v>
      </c>
      <c r="E255" s="8"/>
      <c r="F255" s="8"/>
      <c r="G255" s="8"/>
      <c r="H255" s="34"/>
      <c r="I255" s="21"/>
      <c r="J255" s="21"/>
      <c r="K255" s="21"/>
      <c r="L255" s="21">
        <v>86</v>
      </c>
      <c r="M255" s="40"/>
    </row>
    <row r="256" spans="1:13" ht="20.399999999999999" x14ac:dyDescent="0.25">
      <c r="A256" s="15" t="s">
        <v>36</v>
      </c>
      <c r="B256" s="16" t="s">
        <v>237</v>
      </c>
      <c r="C256" s="16" t="s">
        <v>16</v>
      </c>
      <c r="D256" s="21">
        <f t="shared" si="49"/>
        <v>54.9</v>
      </c>
      <c r="E256" s="8"/>
      <c r="F256" s="8"/>
      <c r="G256" s="8"/>
      <c r="H256" s="34"/>
      <c r="I256" s="21"/>
      <c r="J256" s="21"/>
      <c r="K256" s="21"/>
      <c r="L256" s="21">
        <v>54.9</v>
      </c>
      <c r="M256" s="40"/>
    </row>
    <row r="257" spans="1:13" ht="20.399999999999999" x14ac:dyDescent="0.25">
      <c r="A257" s="15" t="s">
        <v>37</v>
      </c>
      <c r="B257" s="16" t="s">
        <v>237</v>
      </c>
      <c r="C257" s="16" t="s">
        <v>16</v>
      </c>
      <c r="D257" s="21">
        <f t="shared" si="49"/>
        <v>6.1</v>
      </c>
      <c r="E257" s="8"/>
      <c r="F257" s="8"/>
      <c r="G257" s="8"/>
      <c r="H257" s="34"/>
      <c r="I257" s="21"/>
      <c r="J257" s="21"/>
      <c r="K257" s="21"/>
      <c r="L257" s="21">
        <v>6.1</v>
      </c>
      <c r="M257" s="40"/>
    </row>
    <row r="258" spans="1:13" ht="20.399999999999999" x14ac:dyDescent="0.25">
      <c r="A258" s="15" t="s">
        <v>38</v>
      </c>
      <c r="B258" s="16" t="s">
        <v>237</v>
      </c>
      <c r="C258" s="16" t="s">
        <v>16</v>
      </c>
      <c r="D258" s="21">
        <f t="shared" si="49"/>
        <v>130</v>
      </c>
      <c r="E258" s="8"/>
      <c r="F258" s="8"/>
      <c r="G258" s="8"/>
      <c r="H258" s="34"/>
      <c r="I258" s="21"/>
      <c r="J258" s="21"/>
      <c r="K258" s="21"/>
      <c r="L258" s="21">
        <v>130</v>
      </c>
      <c r="M258" s="40"/>
    </row>
    <row r="259" spans="1:13" ht="20.399999999999999" x14ac:dyDescent="0.25">
      <c r="A259" s="15" t="s">
        <v>39</v>
      </c>
      <c r="B259" s="16" t="s">
        <v>237</v>
      </c>
      <c r="C259" s="16" t="s">
        <v>16</v>
      </c>
      <c r="D259" s="21">
        <f t="shared" ref="D259:D265" si="50">SUM(E259:L259)</f>
        <v>170</v>
      </c>
      <c r="E259" s="8"/>
      <c r="F259" s="8"/>
      <c r="G259" s="8"/>
      <c r="H259" s="34"/>
      <c r="I259" s="21"/>
      <c r="J259" s="21"/>
      <c r="K259" s="21"/>
      <c r="L259" s="21">
        <v>170</v>
      </c>
      <c r="M259" s="40"/>
    </row>
    <row r="260" spans="1:13" ht="24" customHeight="1" x14ac:dyDescent="0.25">
      <c r="A260" s="15" t="s">
        <v>284</v>
      </c>
      <c r="B260" s="16" t="s">
        <v>237</v>
      </c>
      <c r="C260" s="16" t="s">
        <v>16</v>
      </c>
      <c r="D260" s="21">
        <f>SUM(E260:L260)</f>
        <v>156.1</v>
      </c>
      <c r="E260" s="8"/>
      <c r="F260" s="8"/>
      <c r="G260" s="8"/>
      <c r="H260" s="34">
        <f>80+76.1</f>
        <v>156.1</v>
      </c>
      <c r="I260" s="21"/>
      <c r="J260" s="21"/>
      <c r="K260" s="21"/>
      <c r="L260" s="21"/>
      <c r="M260" s="40"/>
    </row>
    <row r="261" spans="1:13" ht="20.399999999999999" x14ac:dyDescent="0.25">
      <c r="A261" s="15" t="s">
        <v>266</v>
      </c>
      <c r="B261" s="16" t="s">
        <v>237</v>
      </c>
      <c r="C261" s="16" t="s">
        <v>16</v>
      </c>
      <c r="D261" s="21">
        <f t="shared" si="50"/>
        <v>167.5</v>
      </c>
      <c r="E261" s="8"/>
      <c r="F261" s="8"/>
      <c r="G261" s="8"/>
      <c r="H261" s="34">
        <v>167.5</v>
      </c>
      <c r="I261" s="21"/>
      <c r="J261" s="21"/>
      <c r="K261" s="21"/>
      <c r="L261" s="21"/>
      <c r="M261" s="40"/>
    </row>
    <row r="262" spans="1:13" ht="20.399999999999999" x14ac:dyDescent="0.25">
      <c r="A262" s="15" t="s">
        <v>267</v>
      </c>
      <c r="B262" s="16" t="s">
        <v>237</v>
      </c>
      <c r="C262" s="16" t="s">
        <v>16</v>
      </c>
      <c r="D262" s="21">
        <f t="shared" si="50"/>
        <v>147.69999999999999</v>
      </c>
      <c r="E262" s="8"/>
      <c r="F262" s="8"/>
      <c r="G262" s="8"/>
      <c r="H262" s="34">
        <v>147.69999999999999</v>
      </c>
      <c r="I262" s="21"/>
      <c r="J262" s="21"/>
      <c r="K262" s="21"/>
      <c r="L262" s="21"/>
      <c r="M262" s="40"/>
    </row>
    <row r="263" spans="1:13" ht="18" customHeight="1" x14ac:dyDescent="0.25">
      <c r="A263" s="15" t="s">
        <v>268</v>
      </c>
      <c r="B263" s="16" t="s">
        <v>237</v>
      </c>
      <c r="C263" s="16" t="s">
        <v>16</v>
      </c>
      <c r="D263" s="21">
        <f>SUM(E263:L263)</f>
        <v>170.2</v>
      </c>
      <c r="E263" s="8"/>
      <c r="F263" s="8"/>
      <c r="G263" s="8"/>
      <c r="H263" s="34">
        <v>170.2</v>
      </c>
      <c r="I263" s="21"/>
      <c r="J263" s="21"/>
      <c r="K263" s="21"/>
      <c r="L263" s="21"/>
      <c r="M263" s="40"/>
    </row>
    <row r="264" spans="1:13" ht="18.600000000000001" customHeight="1" x14ac:dyDescent="0.25">
      <c r="A264" s="15" t="s">
        <v>363</v>
      </c>
      <c r="B264" s="16" t="s">
        <v>237</v>
      </c>
      <c r="C264" s="16" t="s">
        <v>16</v>
      </c>
      <c r="D264" s="21">
        <f>SUM(E264:L264)</f>
        <v>97.7</v>
      </c>
      <c r="E264" s="8"/>
      <c r="F264" s="8"/>
      <c r="G264" s="8"/>
      <c r="H264" s="34">
        <f>71.2+26.5</f>
        <v>97.7</v>
      </c>
      <c r="I264" s="21"/>
      <c r="J264" s="21"/>
      <c r="K264" s="21"/>
      <c r="L264" s="21"/>
      <c r="M264" s="40"/>
    </row>
    <row r="265" spans="1:13" ht="20.399999999999999" x14ac:dyDescent="0.25">
      <c r="A265" s="15" t="s">
        <v>295</v>
      </c>
      <c r="B265" s="16" t="s">
        <v>237</v>
      </c>
      <c r="C265" s="16" t="s">
        <v>16</v>
      </c>
      <c r="D265" s="21">
        <f t="shared" si="50"/>
        <v>14.8</v>
      </c>
      <c r="E265" s="8"/>
      <c r="F265" s="8"/>
      <c r="G265" s="8"/>
      <c r="H265" s="34">
        <v>14.8</v>
      </c>
      <c r="I265" s="21"/>
      <c r="J265" s="21"/>
      <c r="K265" s="21"/>
      <c r="L265" s="21"/>
      <c r="M265" s="40"/>
    </row>
    <row r="266" spans="1:13" ht="20.399999999999999" x14ac:dyDescent="0.25">
      <c r="A266" s="15" t="s">
        <v>324</v>
      </c>
      <c r="B266" s="16" t="s">
        <v>237</v>
      </c>
      <c r="C266" s="16" t="s">
        <v>16</v>
      </c>
      <c r="D266" s="21">
        <f t="shared" ref="D266" si="51">SUM(E266:L266)</f>
        <v>322.3</v>
      </c>
      <c r="E266" s="8"/>
      <c r="F266" s="8"/>
      <c r="G266" s="8"/>
      <c r="H266" s="34">
        <v>322.3</v>
      </c>
      <c r="I266" s="21"/>
      <c r="J266" s="21"/>
      <c r="K266" s="21"/>
      <c r="L266" s="21"/>
      <c r="M266" s="40"/>
    </row>
    <row r="267" spans="1:13" ht="20.399999999999999" x14ac:dyDescent="0.25">
      <c r="A267" s="15" t="s">
        <v>325</v>
      </c>
      <c r="B267" s="16" t="s">
        <v>237</v>
      </c>
      <c r="C267" s="16" t="s">
        <v>16</v>
      </c>
      <c r="D267" s="21">
        <f t="shared" ref="D267" si="52">SUM(E267:L267)</f>
        <v>238.5</v>
      </c>
      <c r="E267" s="8"/>
      <c r="F267" s="8"/>
      <c r="G267" s="8"/>
      <c r="H267" s="34">
        <f>265-26.5</f>
        <v>238.5</v>
      </c>
      <c r="I267" s="21"/>
      <c r="J267" s="21"/>
      <c r="K267" s="21"/>
      <c r="L267" s="21"/>
      <c r="M267" s="40"/>
    </row>
    <row r="268" spans="1:13" ht="20.399999999999999" x14ac:dyDescent="0.25">
      <c r="A268" s="17" t="s">
        <v>59</v>
      </c>
      <c r="B268" s="16" t="s">
        <v>20</v>
      </c>
      <c r="C268" s="16" t="s">
        <v>16</v>
      </c>
      <c r="D268" s="20">
        <f t="shared" ref="D268:D279" si="53">SUM(E268:L268)</f>
        <v>1293.0999999999999</v>
      </c>
      <c r="E268" s="6">
        <f>500-50.6</f>
        <v>449.4</v>
      </c>
      <c r="F268" s="6">
        <f>500-346.3</f>
        <v>153.69999999999999</v>
      </c>
      <c r="G268" s="6">
        <v>230</v>
      </c>
      <c r="H268" s="33">
        <v>230</v>
      </c>
      <c r="I268" s="20"/>
      <c r="J268" s="20"/>
      <c r="K268" s="20"/>
      <c r="L268" s="20">
        <v>230</v>
      </c>
      <c r="M268" s="23" t="s">
        <v>242</v>
      </c>
    </row>
    <row r="269" spans="1:13" ht="20.399999999999999" x14ac:dyDescent="0.25">
      <c r="A269" s="17" t="s">
        <v>79</v>
      </c>
      <c r="B269" s="16" t="s">
        <v>20</v>
      </c>
      <c r="C269" s="16" t="s">
        <v>16</v>
      </c>
      <c r="D269" s="20">
        <f t="shared" si="53"/>
        <v>312.89999999999998</v>
      </c>
      <c r="E269" s="6">
        <v>135.9</v>
      </c>
      <c r="F269" s="6">
        <f>197.8-20.8</f>
        <v>177</v>
      </c>
      <c r="G269" s="6"/>
      <c r="H269" s="33"/>
      <c r="I269" s="20"/>
      <c r="J269" s="20"/>
      <c r="K269" s="20"/>
      <c r="L269" s="20"/>
      <c r="M269" s="23" t="s">
        <v>150</v>
      </c>
    </row>
    <row r="270" spans="1:13" ht="20.399999999999999" x14ac:dyDescent="0.25">
      <c r="A270" s="17" t="s">
        <v>61</v>
      </c>
      <c r="B270" s="16" t="s">
        <v>20</v>
      </c>
      <c r="C270" s="16" t="s">
        <v>60</v>
      </c>
      <c r="D270" s="20">
        <f t="shared" si="53"/>
        <v>393.9</v>
      </c>
      <c r="E270" s="6">
        <f>400-6.1</f>
        <v>393.9</v>
      </c>
      <c r="F270" s="6"/>
      <c r="G270" s="6"/>
      <c r="H270" s="33"/>
      <c r="I270" s="20"/>
      <c r="J270" s="20"/>
      <c r="K270" s="20"/>
      <c r="L270" s="20"/>
      <c r="M270" s="23" t="s">
        <v>149</v>
      </c>
    </row>
    <row r="271" spans="1:13" x14ac:dyDescent="0.25">
      <c r="A271" s="18" t="s">
        <v>78</v>
      </c>
      <c r="B271" s="16" t="s">
        <v>20</v>
      </c>
      <c r="C271" s="16" t="s">
        <v>16</v>
      </c>
      <c r="D271" s="20">
        <f t="shared" si="53"/>
        <v>234.8</v>
      </c>
      <c r="E271" s="6">
        <v>234.8</v>
      </c>
      <c r="F271" s="6"/>
      <c r="G271" s="6"/>
      <c r="H271" s="33"/>
      <c r="I271" s="20"/>
      <c r="J271" s="20"/>
      <c r="K271" s="20"/>
      <c r="L271" s="20"/>
      <c r="M271" s="23" t="s">
        <v>151</v>
      </c>
    </row>
    <row r="272" spans="1:13" x14ac:dyDescent="0.25">
      <c r="A272" s="18" t="s">
        <v>81</v>
      </c>
      <c r="B272" s="16" t="s">
        <v>20</v>
      </c>
      <c r="C272" s="16" t="s">
        <v>16</v>
      </c>
      <c r="D272" s="20">
        <f t="shared" si="53"/>
        <v>42.1</v>
      </c>
      <c r="E272" s="6">
        <v>42.1</v>
      </c>
      <c r="F272" s="6"/>
      <c r="G272" s="6"/>
      <c r="H272" s="33"/>
      <c r="I272" s="20"/>
      <c r="J272" s="20"/>
      <c r="K272" s="20"/>
      <c r="L272" s="20"/>
      <c r="M272" s="23" t="s">
        <v>151</v>
      </c>
    </row>
    <row r="273" spans="1:13" ht="20.399999999999999" x14ac:dyDescent="0.25">
      <c r="A273" s="18" t="s">
        <v>82</v>
      </c>
      <c r="B273" s="16" t="s">
        <v>20</v>
      </c>
      <c r="C273" s="16" t="s">
        <v>16</v>
      </c>
      <c r="D273" s="20">
        <f t="shared" si="53"/>
        <v>41.3</v>
      </c>
      <c r="E273" s="6">
        <v>41.3</v>
      </c>
      <c r="F273" s="6"/>
      <c r="G273" s="6"/>
      <c r="H273" s="33"/>
      <c r="I273" s="20"/>
      <c r="J273" s="20"/>
      <c r="K273" s="20"/>
      <c r="L273" s="20"/>
      <c r="M273" s="23" t="s">
        <v>152</v>
      </c>
    </row>
    <row r="274" spans="1:13" ht="20.399999999999999" x14ac:dyDescent="0.25">
      <c r="A274" s="18" t="s">
        <v>83</v>
      </c>
      <c r="B274" s="16" t="s">
        <v>20</v>
      </c>
      <c r="C274" s="16" t="s">
        <v>16</v>
      </c>
      <c r="D274" s="20">
        <f t="shared" si="53"/>
        <v>29.1</v>
      </c>
      <c r="E274" s="6">
        <v>29.1</v>
      </c>
      <c r="F274" s="6"/>
      <c r="G274" s="6"/>
      <c r="H274" s="33"/>
      <c r="I274" s="20"/>
      <c r="J274" s="20"/>
      <c r="K274" s="20"/>
      <c r="L274" s="20"/>
      <c r="M274" s="23" t="s">
        <v>152</v>
      </c>
    </row>
    <row r="275" spans="1:13" ht="38.4" customHeight="1" x14ac:dyDescent="0.25">
      <c r="A275" s="18" t="s">
        <v>84</v>
      </c>
      <c r="B275" s="16" t="s">
        <v>20</v>
      </c>
      <c r="C275" s="16" t="s">
        <v>16</v>
      </c>
      <c r="D275" s="20">
        <f t="shared" si="53"/>
        <v>3.7</v>
      </c>
      <c r="E275" s="6">
        <v>3.7</v>
      </c>
      <c r="F275" s="6"/>
      <c r="G275" s="6"/>
      <c r="H275" s="33"/>
      <c r="I275" s="20"/>
      <c r="J275" s="20"/>
      <c r="K275" s="20"/>
      <c r="L275" s="20"/>
      <c r="M275" s="23" t="s">
        <v>153</v>
      </c>
    </row>
    <row r="276" spans="1:13" ht="30.6" x14ac:dyDescent="0.25">
      <c r="A276" s="18" t="s">
        <v>107</v>
      </c>
      <c r="B276" s="16" t="s">
        <v>20</v>
      </c>
      <c r="C276" s="16" t="s">
        <v>16</v>
      </c>
      <c r="D276" s="20">
        <f t="shared" si="53"/>
        <v>32.800000000000004</v>
      </c>
      <c r="E276" s="6"/>
      <c r="F276" s="6">
        <f>32.7+0.1</f>
        <v>32.800000000000004</v>
      </c>
      <c r="G276" s="6"/>
      <c r="H276" s="33"/>
      <c r="I276" s="20"/>
      <c r="J276" s="20"/>
      <c r="K276" s="20"/>
      <c r="L276" s="20"/>
      <c r="M276" s="23" t="s">
        <v>154</v>
      </c>
    </row>
    <row r="277" spans="1:13" x14ac:dyDescent="0.25">
      <c r="A277" s="18" t="s">
        <v>108</v>
      </c>
      <c r="B277" s="16" t="s">
        <v>20</v>
      </c>
      <c r="C277" s="16" t="s">
        <v>16</v>
      </c>
      <c r="D277" s="20">
        <f t="shared" si="53"/>
        <v>966</v>
      </c>
      <c r="E277" s="6"/>
      <c r="F277" s="6"/>
      <c r="G277" s="6"/>
      <c r="H277" s="33">
        <f>SUM(H278:H279)</f>
        <v>966</v>
      </c>
      <c r="I277" s="20"/>
      <c r="J277" s="20"/>
      <c r="K277" s="20"/>
      <c r="L277" s="20">
        <f>SUM(L278:L279)</f>
        <v>0</v>
      </c>
      <c r="M277" s="40" t="s">
        <v>151</v>
      </c>
    </row>
    <row r="278" spans="1:13" x14ac:dyDescent="0.25">
      <c r="A278" s="9" t="s">
        <v>356</v>
      </c>
      <c r="B278" s="16" t="s">
        <v>20</v>
      </c>
      <c r="C278" s="16" t="s">
        <v>16</v>
      </c>
      <c r="D278" s="21">
        <f t="shared" si="53"/>
        <v>816</v>
      </c>
      <c r="E278" s="8"/>
      <c r="F278" s="8"/>
      <c r="G278" s="8"/>
      <c r="H278" s="34">
        <v>816</v>
      </c>
      <c r="I278" s="21"/>
      <c r="J278" s="21"/>
      <c r="K278" s="21"/>
      <c r="L278" s="21"/>
      <c r="M278" s="40"/>
    </row>
    <row r="279" spans="1:13" ht="20.399999999999999" x14ac:dyDescent="0.25">
      <c r="A279" s="9" t="s">
        <v>357</v>
      </c>
      <c r="B279" s="16" t="s">
        <v>20</v>
      </c>
      <c r="C279" s="16" t="s">
        <v>16</v>
      </c>
      <c r="D279" s="21">
        <f t="shared" si="53"/>
        <v>150</v>
      </c>
      <c r="E279" s="8"/>
      <c r="F279" s="8"/>
      <c r="G279" s="8"/>
      <c r="H279" s="34">
        <v>150</v>
      </c>
      <c r="I279" s="21"/>
      <c r="J279" s="21"/>
      <c r="K279" s="21"/>
      <c r="L279" s="21"/>
      <c r="M279" s="40"/>
    </row>
    <row r="280" spans="1:13" ht="20.399999999999999" x14ac:dyDescent="0.25">
      <c r="A280" s="9" t="s">
        <v>198</v>
      </c>
      <c r="B280" s="16"/>
      <c r="C280" s="16"/>
      <c r="D280" s="21"/>
      <c r="E280" s="8"/>
      <c r="F280" s="8"/>
      <c r="G280" s="8"/>
      <c r="H280" s="34"/>
      <c r="I280" s="21"/>
      <c r="J280" s="21"/>
      <c r="K280" s="21"/>
      <c r="L280" s="21"/>
      <c r="M280" s="40"/>
    </row>
    <row r="281" spans="1:13" ht="20.399999999999999" x14ac:dyDescent="0.25">
      <c r="A281" s="18" t="s">
        <v>109</v>
      </c>
      <c r="B281" s="16" t="s">
        <v>20</v>
      </c>
      <c r="C281" s="16" t="s">
        <v>16</v>
      </c>
      <c r="D281" s="20">
        <f>SUM(E281:L281)</f>
        <v>15.723599999999999</v>
      </c>
      <c r="E281" s="6"/>
      <c r="F281" s="6"/>
      <c r="G281" s="6"/>
      <c r="H281" s="33"/>
      <c r="I281" s="20"/>
      <c r="J281" s="20"/>
      <c r="K281" s="20"/>
      <c r="L281" s="20">
        <v>15.723599999999999</v>
      </c>
      <c r="M281" s="23" t="s">
        <v>151</v>
      </c>
    </row>
    <row r="282" spans="1:13" ht="20.399999999999999" x14ac:dyDescent="0.25">
      <c r="A282" s="18" t="s">
        <v>110</v>
      </c>
      <c r="B282" s="16" t="s">
        <v>20</v>
      </c>
      <c r="C282" s="16" t="s">
        <v>16</v>
      </c>
      <c r="D282" s="20">
        <f>SUM(E282:L282)</f>
        <v>20.8</v>
      </c>
      <c r="E282" s="6"/>
      <c r="F282" s="6">
        <f>20.7+0.1</f>
        <v>20.8</v>
      </c>
      <c r="G282" s="6"/>
      <c r="H282" s="33"/>
      <c r="I282" s="20"/>
      <c r="J282" s="20"/>
      <c r="K282" s="20"/>
      <c r="L282" s="20"/>
      <c r="M282" s="23" t="s">
        <v>152</v>
      </c>
    </row>
    <row r="283" spans="1:13" ht="21.6" x14ac:dyDescent="0.25">
      <c r="A283" s="18" t="s">
        <v>191</v>
      </c>
      <c r="B283" s="16"/>
      <c r="C283" s="16"/>
      <c r="D283" s="20"/>
      <c r="E283" s="6"/>
      <c r="F283" s="6"/>
      <c r="G283" s="6"/>
      <c r="H283" s="33"/>
      <c r="I283" s="20"/>
      <c r="J283" s="20"/>
      <c r="K283" s="20"/>
      <c r="L283" s="20"/>
      <c r="M283" s="23"/>
    </row>
    <row r="284" spans="1:13" x14ac:dyDescent="0.25">
      <c r="A284" s="45" t="s">
        <v>112</v>
      </c>
      <c r="B284" s="44" t="s">
        <v>113</v>
      </c>
      <c r="C284" s="16" t="s">
        <v>17</v>
      </c>
      <c r="D284" s="20">
        <f t="shared" ref="D284:D337" si="54">SUM(E284:L284)</f>
        <v>6924</v>
      </c>
      <c r="E284" s="6"/>
      <c r="F284" s="6">
        <f>SUM(F285:F286)</f>
        <v>2802.6</v>
      </c>
      <c r="G284" s="6">
        <f t="shared" ref="G284:H284" si="55">SUM(G285:G286)</f>
        <v>3121.3999999999996</v>
      </c>
      <c r="H284" s="33">
        <f t="shared" si="55"/>
        <v>1000</v>
      </c>
      <c r="I284" s="20"/>
      <c r="J284" s="20"/>
      <c r="K284" s="20"/>
      <c r="L284" s="20"/>
      <c r="M284" s="40" t="s">
        <v>156</v>
      </c>
    </row>
    <row r="285" spans="1:13" x14ac:dyDescent="0.25">
      <c r="A285" s="46"/>
      <c r="B285" s="47"/>
      <c r="C285" s="16" t="s">
        <v>130</v>
      </c>
      <c r="D285" s="20">
        <f t="shared" si="54"/>
        <v>4764.3999999999996</v>
      </c>
      <c r="E285" s="6"/>
      <c r="F285" s="6">
        <v>2382.1999999999998</v>
      </c>
      <c r="G285" s="6">
        <v>2382.1999999999998</v>
      </c>
      <c r="H285" s="33"/>
      <c r="I285" s="20"/>
      <c r="J285" s="20"/>
      <c r="K285" s="20"/>
      <c r="L285" s="20"/>
      <c r="M285" s="41"/>
    </row>
    <row r="286" spans="1:13" x14ac:dyDescent="0.25">
      <c r="A286" s="46"/>
      <c r="B286" s="47"/>
      <c r="C286" s="16" t="s">
        <v>131</v>
      </c>
      <c r="D286" s="20">
        <f t="shared" si="54"/>
        <v>2159.6</v>
      </c>
      <c r="E286" s="6"/>
      <c r="F286" s="6">
        <f>484.8-150.8-156.1-0.1-177.8+420.4</f>
        <v>420.4</v>
      </c>
      <c r="G286" s="6">
        <v>739.2</v>
      </c>
      <c r="H286" s="33">
        <v>1000</v>
      </c>
      <c r="I286" s="20"/>
      <c r="J286" s="20"/>
      <c r="K286" s="20"/>
      <c r="L286" s="20"/>
      <c r="M286" s="41"/>
    </row>
    <row r="287" spans="1:13" ht="20.399999999999999" x14ac:dyDescent="0.25">
      <c r="A287" s="18" t="s">
        <v>124</v>
      </c>
      <c r="B287" s="16" t="s">
        <v>20</v>
      </c>
      <c r="C287" s="16" t="s">
        <v>16</v>
      </c>
      <c r="D287" s="20">
        <f t="shared" si="54"/>
        <v>23.1</v>
      </c>
      <c r="E287" s="6"/>
      <c r="F287" s="6">
        <v>23.1</v>
      </c>
      <c r="G287" s="6"/>
      <c r="H287" s="33"/>
      <c r="I287" s="20"/>
      <c r="J287" s="20"/>
      <c r="K287" s="20"/>
      <c r="L287" s="20"/>
      <c r="M287" s="23" t="s">
        <v>152</v>
      </c>
    </row>
    <row r="288" spans="1:13" x14ac:dyDescent="0.25">
      <c r="A288" s="45" t="s">
        <v>126</v>
      </c>
      <c r="B288" s="44" t="s">
        <v>20</v>
      </c>
      <c r="C288" s="16" t="s">
        <v>17</v>
      </c>
      <c r="D288" s="20">
        <f t="shared" si="54"/>
        <v>214.60000000000002</v>
      </c>
      <c r="E288" s="6"/>
      <c r="F288" s="6">
        <f>SUM(F289:F290)</f>
        <v>214.60000000000002</v>
      </c>
      <c r="G288" s="6"/>
      <c r="H288" s="33"/>
      <c r="I288" s="20"/>
      <c r="J288" s="20"/>
      <c r="K288" s="20"/>
      <c r="L288" s="20"/>
      <c r="M288" s="40" t="s">
        <v>155</v>
      </c>
    </row>
    <row r="289" spans="1:13" x14ac:dyDescent="0.25">
      <c r="A289" s="45"/>
      <c r="B289" s="44"/>
      <c r="C289" s="16" t="s">
        <v>130</v>
      </c>
      <c r="D289" s="20">
        <f t="shared" si="54"/>
        <v>105.2</v>
      </c>
      <c r="E289" s="6"/>
      <c r="F289" s="6">
        <v>105.2</v>
      </c>
      <c r="G289" s="6"/>
      <c r="H289" s="33"/>
      <c r="I289" s="20"/>
      <c r="J289" s="20"/>
      <c r="K289" s="20"/>
      <c r="L289" s="20"/>
      <c r="M289" s="40"/>
    </row>
    <row r="290" spans="1:13" x14ac:dyDescent="0.25">
      <c r="A290" s="45"/>
      <c r="B290" s="44"/>
      <c r="C290" s="16" t="s">
        <v>131</v>
      </c>
      <c r="D290" s="20">
        <f t="shared" si="54"/>
        <v>109.4</v>
      </c>
      <c r="E290" s="6"/>
      <c r="F290" s="6">
        <v>109.4</v>
      </c>
      <c r="G290" s="6"/>
      <c r="H290" s="33"/>
      <c r="I290" s="20"/>
      <c r="J290" s="20"/>
      <c r="K290" s="20"/>
      <c r="L290" s="20"/>
      <c r="M290" s="40"/>
    </row>
    <row r="291" spans="1:13" x14ac:dyDescent="0.25">
      <c r="A291" s="45" t="s">
        <v>127</v>
      </c>
      <c r="B291" s="44" t="s">
        <v>20</v>
      </c>
      <c r="C291" s="16" t="s">
        <v>17</v>
      </c>
      <c r="D291" s="20">
        <f>SUM(E291:L291)</f>
        <v>91.6</v>
      </c>
      <c r="E291" s="6"/>
      <c r="F291" s="6">
        <f>SUM(F292:F293)</f>
        <v>91.6</v>
      </c>
      <c r="G291" s="6"/>
      <c r="H291" s="33"/>
      <c r="I291" s="20"/>
      <c r="J291" s="20"/>
      <c r="K291" s="20"/>
      <c r="L291" s="20"/>
      <c r="M291" s="40" t="s">
        <v>155</v>
      </c>
    </row>
    <row r="292" spans="1:13" ht="21" customHeight="1" x14ac:dyDescent="0.25">
      <c r="A292" s="45"/>
      <c r="B292" s="44"/>
      <c r="C292" s="16" t="s">
        <v>130</v>
      </c>
      <c r="D292" s="20">
        <f t="shared" si="54"/>
        <v>44.9</v>
      </c>
      <c r="E292" s="6"/>
      <c r="F292" s="6">
        <v>44.9</v>
      </c>
      <c r="G292" s="6"/>
      <c r="H292" s="33"/>
      <c r="I292" s="20"/>
      <c r="J292" s="20"/>
      <c r="K292" s="20"/>
      <c r="L292" s="20"/>
      <c r="M292" s="40"/>
    </row>
    <row r="293" spans="1:13" x14ac:dyDescent="0.25">
      <c r="A293" s="45"/>
      <c r="B293" s="44"/>
      <c r="C293" s="16" t="s">
        <v>131</v>
      </c>
      <c r="D293" s="20">
        <f t="shared" si="54"/>
        <v>46.7</v>
      </c>
      <c r="E293" s="6"/>
      <c r="F293" s="6">
        <v>46.7</v>
      </c>
      <c r="G293" s="6"/>
      <c r="H293" s="33"/>
      <c r="I293" s="20"/>
      <c r="J293" s="20"/>
      <c r="K293" s="20"/>
      <c r="L293" s="20"/>
      <c r="M293" s="40"/>
    </row>
    <row r="294" spans="1:13" ht="30.6" x14ac:dyDescent="0.25">
      <c r="A294" s="18" t="s">
        <v>157</v>
      </c>
      <c r="B294" s="16" t="s">
        <v>20</v>
      </c>
      <c r="C294" s="16" t="s">
        <v>16</v>
      </c>
      <c r="D294" s="20">
        <f t="shared" si="54"/>
        <v>35.9</v>
      </c>
      <c r="E294" s="6"/>
      <c r="F294" s="6">
        <v>35.9</v>
      </c>
      <c r="G294" s="6"/>
      <c r="H294" s="33"/>
      <c r="I294" s="20"/>
      <c r="J294" s="20"/>
      <c r="K294" s="20"/>
      <c r="L294" s="20"/>
      <c r="M294" s="23" t="s">
        <v>313</v>
      </c>
    </row>
    <row r="295" spans="1:13" ht="20.399999999999999" x14ac:dyDescent="0.25">
      <c r="A295" s="18" t="s">
        <v>158</v>
      </c>
      <c r="B295" s="16" t="s">
        <v>20</v>
      </c>
      <c r="C295" s="16" t="s">
        <v>16</v>
      </c>
      <c r="D295" s="20">
        <f t="shared" si="54"/>
        <v>36.700000000000003</v>
      </c>
      <c r="E295" s="6"/>
      <c r="F295" s="6">
        <v>36.700000000000003</v>
      </c>
      <c r="G295" s="6"/>
      <c r="H295" s="33"/>
      <c r="I295" s="20"/>
      <c r="J295" s="20"/>
      <c r="K295" s="20"/>
      <c r="L295" s="20"/>
      <c r="M295" s="23" t="s">
        <v>314</v>
      </c>
    </row>
    <row r="296" spans="1:13" ht="20.399999999999999" x14ac:dyDescent="0.25">
      <c r="A296" s="18" t="s">
        <v>159</v>
      </c>
      <c r="B296" s="16" t="s">
        <v>20</v>
      </c>
      <c r="C296" s="16" t="s">
        <v>16</v>
      </c>
      <c r="D296" s="20">
        <f t="shared" si="54"/>
        <v>54</v>
      </c>
      <c r="E296" s="6"/>
      <c r="F296" s="6">
        <f>54.1-0.1</f>
        <v>54</v>
      </c>
      <c r="G296" s="6"/>
      <c r="H296" s="33"/>
      <c r="I296" s="20"/>
      <c r="J296" s="20"/>
      <c r="K296" s="20"/>
      <c r="L296" s="20"/>
      <c r="M296" s="23" t="s">
        <v>160</v>
      </c>
    </row>
    <row r="297" spans="1:13" ht="36.6" customHeight="1" x14ac:dyDescent="0.25">
      <c r="A297" s="18" t="s">
        <v>165</v>
      </c>
      <c r="B297" s="16" t="s">
        <v>20</v>
      </c>
      <c r="C297" s="16" t="s">
        <v>16</v>
      </c>
      <c r="D297" s="20">
        <f t="shared" si="54"/>
        <v>210.4</v>
      </c>
      <c r="E297" s="6"/>
      <c r="F297" s="6">
        <v>210.4</v>
      </c>
      <c r="G297" s="6"/>
      <c r="H297" s="33"/>
      <c r="I297" s="20"/>
      <c r="J297" s="20"/>
      <c r="K297" s="20"/>
      <c r="L297" s="20"/>
      <c r="M297" s="23" t="s">
        <v>160</v>
      </c>
    </row>
    <row r="298" spans="1:13" ht="20.399999999999999" x14ac:dyDescent="0.25">
      <c r="A298" s="18" t="s">
        <v>238</v>
      </c>
      <c r="B298" s="16" t="s">
        <v>20</v>
      </c>
      <c r="C298" s="16" t="s">
        <v>16</v>
      </c>
      <c r="D298" s="20">
        <f t="shared" si="54"/>
        <v>305</v>
      </c>
      <c r="E298" s="6"/>
      <c r="F298" s="6">
        <f>309.3-4.3</f>
        <v>305</v>
      </c>
      <c r="G298" s="6"/>
      <c r="H298" s="33"/>
      <c r="I298" s="20"/>
      <c r="J298" s="20"/>
      <c r="K298" s="20"/>
      <c r="L298" s="20"/>
      <c r="M298" s="23" t="s">
        <v>151</v>
      </c>
    </row>
    <row r="299" spans="1:13" x14ac:dyDescent="0.25">
      <c r="A299" s="18" t="s">
        <v>239</v>
      </c>
      <c r="B299" s="16" t="s">
        <v>20</v>
      </c>
      <c r="C299" s="16" t="s">
        <v>16</v>
      </c>
      <c r="D299" s="20">
        <f t="shared" si="54"/>
        <v>41.3</v>
      </c>
      <c r="E299" s="6"/>
      <c r="F299" s="6">
        <v>41.3</v>
      </c>
      <c r="G299" s="6"/>
      <c r="H299" s="33"/>
      <c r="I299" s="20"/>
      <c r="J299" s="20"/>
      <c r="K299" s="20"/>
      <c r="L299" s="20"/>
      <c r="M299" s="23" t="s">
        <v>152</v>
      </c>
    </row>
    <row r="300" spans="1:13" ht="22.5" customHeight="1" x14ac:dyDescent="0.25">
      <c r="A300" s="18" t="s">
        <v>164</v>
      </c>
      <c r="B300" s="16" t="s">
        <v>20</v>
      </c>
      <c r="C300" s="16" t="s">
        <v>16</v>
      </c>
      <c r="D300" s="20">
        <f t="shared" si="54"/>
        <v>4.3</v>
      </c>
      <c r="E300" s="6"/>
      <c r="F300" s="6">
        <v>4.3</v>
      </c>
      <c r="G300" s="6"/>
      <c r="H300" s="33"/>
      <c r="I300" s="20"/>
      <c r="J300" s="20"/>
      <c r="K300" s="20"/>
      <c r="L300" s="20"/>
      <c r="M300" s="23" t="s">
        <v>151</v>
      </c>
    </row>
    <row r="301" spans="1:13" ht="13.5" customHeight="1" x14ac:dyDescent="0.25">
      <c r="A301" s="45" t="s">
        <v>169</v>
      </c>
      <c r="B301" s="44" t="s">
        <v>20</v>
      </c>
      <c r="C301" s="16" t="s">
        <v>17</v>
      </c>
      <c r="D301" s="20">
        <f t="shared" si="54"/>
        <v>166.39999999999998</v>
      </c>
      <c r="E301" s="6"/>
      <c r="F301" s="6">
        <f>SUM(F302:F303)</f>
        <v>39.200000000000003</v>
      </c>
      <c r="G301" s="6">
        <f>SUM(G302:G303)</f>
        <v>127.19999999999999</v>
      </c>
      <c r="H301" s="33"/>
      <c r="I301" s="20"/>
      <c r="J301" s="20"/>
      <c r="K301" s="20"/>
      <c r="L301" s="20"/>
      <c r="M301" s="40" t="s">
        <v>182</v>
      </c>
    </row>
    <row r="302" spans="1:13" ht="13.5" customHeight="1" x14ac:dyDescent="0.25">
      <c r="A302" s="46"/>
      <c r="B302" s="47"/>
      <c r="C302" s="16" t="s">
        <v>130</v>
      </c>
      <c r="D302" s="20">
        <f t="shared" si="54"/>
        <v>76.3</v>
      </c>
      <c r="E302" s="6"/>
      <c r="F302" s="6">
        <f>58.8-58.8</f>
        <v>0</v>
      </c>
      <c r="G302" s="6">
        <v>76.3</v>
      </c>
      <c r="H302" s="33"/>
      <c r="I302" s="20"/>
      <c r="J302" s="20"/>
      <c r="K302" s="20"/>
      <c r="L302" s="20"/>
      <c r="M302" s="40"/>
    </row>
    <row r="303" spans="1:13" ht="12" customHeight="1" x14ac:dyDescent="0.25">
      <c r="A303" s="46"/>
      <c r="B303" s="47"/>
      <c r="C303" s="16" t="s">
        <v>131</v>
      </c>
      <c r="D303" s="20">
        <f t="shared" si="54"/>
        <v>90.1</v>
      </c>
      <c r="E303" s="6"/>
      <c r="F303" s="6">
        <v>39.200000000000003</v>
      </c>
      <c r="G303" s="6">
        <v>50.9</v>
      </c>
      <c r="H303" s="33"/>
      <c r="I303" s="20"/>
      <c r="J303" s="20"/>
      <c r="K303" s="20"/>
      <c r="L303" s="20"/>
      <c r="M303" s="40"/>
    </row>
    <row r="304" spans="1:13" ht="13.5" customHeight="1" x14ac:dyDescent="0.25">
      <c r="A304" s="45" t="s">
        <v>183</v>
      </c>
      <c r="B304" s="44" t="s">
        <v>20</v>
      </c>
      <c r="C304" s="16" t="s">
        <v>17</v>
      </c>
      <c r="D304" s="20">
        <f t="shared" si="54"/>
        <v>84.5</v>
      </c>
      <c r="E304" s="6"/>
      <c r="F304" s="6"/>
      <c r="G304" s="6">
        <f>SUM(G305:G306)</f>
        <v>84.5</v>
      </c>
      <c r="H304" s="33"/>
      <c r="I304" s="20"/>
      <c r="J304" s="20"/>
      <c r="K304" s="20"/>
      <c r="L304" s="20"/>
      <c r="M304" s="40" t="s">
        <v>155</v>
      </c>
    </row>
    <row r="305" spans="1:13" ht="13.5" customHeight="1" x14ac:dyDescent="0.25">
      <c r="A305" s="46"/>
      <c r="B305" s="47"/>
      <c r="C305" s="16" t="s">
        <v>130</v>
      </c>
      <c r="D305" s="20">
        <f t="shared" si="54"/>
        <v>46.4</v>
      </c>
      <c r="E305" s="6"/>
      <c r="F305" s="6"/>
      <c r="G305" s="6">
        <v>46.4</v>
      </c>
      <c r="H305" s="33"/>
      <c r="I305" s="20"/>
      <c r="J305" s="20"/>
      <c r="K305" s="20"/>
      <c r="L305" s="20"/>
      <c r="M305" s="40"/>
    </row>
    <row r="306" spans="1:13" ht="13.5" customHeight="1" x14ac:dyDescent="0.25">
      <c r="A306" s="46"/>
      <c r="B306" s="47"/>
      <c r="C306" s="16" t="s">
        <v>131</v>
      </c>
      <c r="D306" s="20">
        <f t="shared" si="54"/>
        <v>38.1</v>
      </c>
      <c r="E306" s="6"/>
      <c r="F306" s="6"/>
      <c r="G306" s="6">
        <f>30.9+7.2</f>
        <v>38.1</v>
      </c>
      <c r="H306" s="33"/>
      <c r="I306" s="20"/>
      <c r="J306" s="20"/>
      <c r="K306" s="20"/>
      <c r="L306" s="20"/>
      <c r="M306" s="40"/>
    </row>
    <row r="307" spans="1:13" ht="20.399999999999999" x14ac:dyDescent="0.25">
      <c r="A307" s="18" t="s">
        <v>240</v>
      </c>
      <c r="B307" s="16" t="s">
        <v>20</v>
      </c>
      <c r="C307" s="16" t="s">
        <v>16</v>
      </c>
      <c r="D307" s="20">
        <f t="shared" si="54"/>
        <v>47.5</v>
      </c>
      <c r="E307" s="6"/>
      <c r="F307" s="6"/>
      <c r="G307" s="6">
        <v>47.5</v>
      </c>
      <c r="H307" s="33"/>
      <c r="I307" s="20"/>
      <c r="J307" s="20"/>
      <c r="K307" s="20"/>
      <c r="L307" s="20"/>
      <c r="M307" s="23" t="s">
        <v>152</v>
      </c>
    </row>
    <row r="308" spans="1:13" ht="46.2" customHeight="1" x14ac:dyDescent="0.25">
      <c r="A308" s="18" t="s">
        <v>261</v>
      </c>
      <c r="B308" s="16" t="s">
        <v>20</v>
      </c>
      <c r="C308" s="16" t="s">
        <v>16</v>
      </c>
      <c r="D308" s="20">
        <f t="shared" si="54"/>
        <v>49</v>
      </c>
      <c r="E308" s="6"/>
      <c r="F308" s="6"/>
      <c r="G308" s="6">
        <v>49</v>
      </c>
      <c r="H308" s="33"/>
      <c r="I308" s="20"/>
      <c r="J308" s="20"/>
      <c r="K308" s="20"/>
      <c r="L308" s="20"/>
      <c r="M308" s="23" t="s">
        <v>262</v>
      </c>
    </row>
    <row r="309" spans="1:13" ht="46.8" customHeight="1" x14ac:dyDescent="0.25">
      <c r="A309" s="18" t="s">
        <v>167</v>
      </c>
      <c r="B309" s="16" t="s">
        <v>20</v>
      </c>
      <c r="C309" s="16" t="s">
        <v>16</v>
      </c>
      <c r="D309" s="20">
        <f t="shared" si="54"/>
        <v>22.9</v>
      </c>
      <c r="E309" s="6"/>
      <c r="F309" s="6"/>
      <c r="G309" s="6">
        <v>22.9</v>
      </c>
      <c r="H309" s="33"/>
      <c r="I309" s="20"/>
      <c r="J309" s="20"/>
      <c r="K309" s="20"/>
      <c r="L309" s="20"/>
      <c r="M309" s="23" t="s">
        <v>152</v>
      </c>
    </row>
    <row r="310" spans="1:13" ht="20.399999999999999" x14ac:dyDescent="0.25">
      <c r="A310" s="18" t="s">
        <v>361</v>
      </c>
      <c r="B310" s="16" t="s">
        <v>20</v>
      </c>
      <c r="C310" s="16" t="s">
        <v>16</v>
      </c>
      <c r="D310" s="20">
        <f t="shared" si="54"/>
        <v>778.52020000000005</v>
      </c>
      <c r="E310" s="6"/>
      <c r="F310" s="6"/>
      <c r="G310" s="6">
        <f>SUM(G311:G312)</f>
        <v>142</v>
      </c>
      <c r="H310" s="33"/>
      <c r="I310" s="20">
        <f>SUM(I311:I312)</f>
        <v>636.52020000000005</v>
      </c>
      <c r="J310" s="20"/>
      <c r="K310" s="20"/>
      <c r="L310" s="20"/>
      <c r="M310" s="37" t="s">
        <v>160</v>
      </c>
    </row>
    <row r="311" spans="1:13" x14ac:dyDescent="0.25">
      <c r="A311" s="9" t="s">
        <v>360</v>
      </c>
      <c r="B311" s="24" t="s">
        <v>20</v>
      </c>
      <c r="C311" s="24" t="s">
        <v>16</v>
      </c>
      <c r="D311" s="21">
        <f t="shared" si="54"/>
        <v>142</v>
      </c>
      <c r="E311" s="8"/>
      <c r="F311" s="8"/>
      <c r="G311" s="8">
        <v>142</v>
      </c>
      <c r="H311" s="34"/>
      <c r="I311" s="21"/>
      <c r="J311" s="21"/>
      <c r="K311" s="21"/>
      <c r="L311" s="21"/>
      <c r="M311" s="38"/>
    </row>
    <row r="312" spans="1:13" ht="20.399999999999999" x14ac:dyDescent="0.25">
      <c r="A312" s="9" t="s">
        <v>362</v>
      </c>
      <c r="B312" s="24" t="s">
        <v>20</v>
      </c>
      <c r="C312" s="24" t="s">
        <v>16</v>
      </c>
      <c r="D312" s="21">
        <f t="shared" si="54"/>
        <v>636.52020000000005</v>
      </c>
      <c r="E312" s="8"/>
      <c r="F312" s="8"/>
      <c r="G312" s="8"/>
      <c r="H312" s="34"/>
      <c r="I312" s="21">
        <v>636.52020000000005</v>
      </c>
      <c r="J312" s="21"/>
      <c r="K312" s="21"/>
      <c r="L312" s="21"/>
      <c r="M312" s="39"/>
    </row>
    <row r="313" spans="1:13" ht="34.200000000000003" customHeight="1" x14ac:dyDescent="0.25">
      <c r="A313" s="18" t="s">
        <v>179</v>
      </c>
      <c r="B313" s="16" t="s">
        <v>20</v>
      </c>
      <c r="C313" s="16" t="s">
        <v>16</v>
      </c>
      <c r="D313" s="20">
        <f t="shared" si="54"/>
        <v>127.8</v>
      </c>
      <c r="E313" s="6"/>
      <c r="F313" s="6"/>
      <c r="G313" s="6">
        <v>127.8</v>
      </c>
      <c r="H313" s="33"/>
      <c r="I313" s="20"/>
      <c r="J313" s="20"/>
      <c r="K313" s="20"/>
      <c r="L313" s="20"/>
      <c r="M313" s="23" t="s">
        <v>160</v>
      </c>
    </row>
    <row r="314" spans="1:13" ht="20.399999999999999" x14ac:dyDescent="0.25">
      <c r="A314" s="18" t="s">
        <v>180</v>
      </c>
      <c r="B314" s="16" t="s">
        <v>20</v>
      </c>
      <c r="C314" s="16" t="s">
        <v>16</v>
      </c>
      <c r="D314" s="20">
        <f t="shared" si="54"/>
        <v>37.1</v>
      </c>
      <c r="E314" s="6"/>
      <c r="F314" s="6"/>
      <c r="G314" s="6">
        <v>37.1</v>
      </c>
      <c r="H314" s="33"/>
      <c r="I314" s="20"/>
      <c r="J314" s="20"/>
      <c r="K314" s="20"/>
      <c r="L314" s="20"/>
      <c r="M314" s="23" t="s">
        <v>152</v>
      </c>
    </row>
    <row r="315" spans="1:13" ht="20.399999999999999" x14ac:dyDescent="0.25">
      <c r="A315" s="18" t="s">
        <v>181</v>
      </c>
      <c r="B315" s="16" t="s">
        <v>20</v>
      </c>
      <c r="C315" s="16" t="s">
        <v>16</v>
      </c>
      <c r="D315" s="20">
        <f t="shared" si="54"/>
        <v>23.3</v>
      </c>
      <c r="E315" s="6"/>
      <c r="F315" s="6"/>
      <c r="G315" s="6">
        <v>23.3</v>
      </c>
      <c r="H315" s="33"/>
      <c r="I315" s="20"/>
      <c r="J315" s="20"/>
      <c r="K315" s="20"/>
      <c r="L315" s="20"/>
      <c r="M315" s="23" t="s">
        <v>152</v>
      </c>
    </row>
    <row r="316" spans="1:13" x14ac:dyDescent="0.25">
      <c r="A316" s="18" t="s">
        <v>194</v>
      </c>
      <c r="B316" s="16" t="s">
        <v>20</v>
      </c>
      <c r="C316" s="16" t="s">
        <v>16</v>
      </c>
      <c r="D316" s="20">
        <f t="shared" si="54"/>
        <v>244.70000000000002</v>
      </c>
      <c r="E316" s="6"/>
      <c r="F316" s="6"/>
      <c r="G316" s="6">
        <f>SUM(G317:G318)</f>
        <v>244.70000000000002</v>
      </c>
      <c r="H316" s="33"/>
      <c r="I316" s="20"/>
      <c r="J316" s="20"/>
      <c r="K316" s="20"/>
      <c r="L316" s="20"/>
      <c r="M316" s="40" t="s">
        <v>151</v>
      </c>
    </row>
    <row r="317" spans="1:13" x14ac:dyDescent="0.25">
      <c r="A317" s="9" t="s">
        <v>195</v>
      </c>
      <c r="B317" s="16" t="s">
        <v>20</v>
      </c>
      <c r="C317" s="16" t="s">
        <v>16</v>
      </c>
      <c r="D317" s="20">
        <f t="shared" si="54"/>
        <v>216.3</v>
      </c>
      <c r="E317" s="8"/>
      <c r="F317" s="8"/>
      <c r="G317" s="6">
        <f>256-39.4-0.1-0.2</f>
        <v>216.3</v>
      </c>
      <c r="H317" s="34"/>
      <c r="I317" s="21"/>
      <c r="J317" s="21"/>
      <c r="K317" s="21"/>
      <c r="L317" s="21"/>
      <c r="M317" s="40"/>
    </row>
    <row r="318" spans="1:13" x14ac:dyDescent="0.25">
      <c r="A318" s="9" t="s">
        <v>197</v>
      </c>
      <c r="B318" s="16" t="s">
        <v>20</v>
      </c>
      <c r="C318" s="16" t="s">
        <v>16</v>
      </c>
      <c r="D318" s="20">
        <f t="shared" si="54"/>
        <v>28.4</v>
      </c>
      <c r="E318" s="8"/>
      <c r="F318" s="8"/>
      <c r="G318" s="6">
        <v>28.4</v>
      </c>
      <c r="H318" s="34"/>
      <c r="I318" s="21"/>
      <c r="J318" s="21"/>
      <c r="K318" s="21"/>
      <c r="L318" s="21"/>
      <c r="M318" s="40"/>
    </row>
    <row r="319" spans="1:13" ht="30.6" x14ac:dyDescent="0.25">
      <c r="A319" s="18" t="s">
        <v>228</v>
      </c>
      <c r="B319" s="16" t="s">
        <v>20</v>
      </c>
      <c r="C319" s="16" t="s">
        <v>16</v>
      </c>
      <c r="D319" s="20">
        <f t="shared" si="54"/>
        <v>17.600000000000001</v>
      </c>
      <c r="E319" s="6"/>
      <c r="F319" s="6"/>
      <c r="G319" s="6">
        <v>17.600000000000001</v>
      </c>
      <c r="H319" s="33"/>
      <c r="I319" s="20"/>
      <c r="J319" s="20"/>
      <c r="K319" s="20"/>
      <c r="L319" s="20"/>
      <c r="M319" s="23" t="s">
        <v>152</v>
      </c>
    </row>
    <row r="320" spans="1:13" ht="20.399999999999999" x14ac:dyDescent="0.25">
      <c r="A320" s="18" t="s">
        <v>243</v>
      </c>
      <c r="B320" s="16" t="s">
        <v>20</v>
      </c>
      <c r="C320" s="16" t="s">
        <v>16</v>
      </c>
      <c r="D320" s="20">
        <f t="shared" si="54"/>
        <v>138.10000000000002</v>
      </c>
      <c r="E320" s="6"/>
      <c r="F320" s="6"/>
      <c r="G320" s="6"/>
      <c r="H320" s="33">
        <f>138.8-0.7</f>
        <v>138.10000000000002</v>
      </c>
      <c r="I320" s="20"/>
      <c r="J320" s="20"/>
      <c r="K320" s="20"/>
      <c r="L320" s="20"/>
      <c r="M320" s="23" t="s">
        <v>160</v>
      </c>
    </row>
    <row r="321" spans="1:13" ht="44.4" customHeight="1" x14ac:dyDescent="0.25">
      <c r="A321" s="18" t="s">
        <v>244</v>
      </c>
      <c r="B321" s="16" t="s">
        <v>20</v>
      </c>
      <c r="C321" s="16" t="s">
        <v>16</v>
      </c>
      <c r="D321" s="20">
        <f t="shared" si="54"/>
        <v>43.599999999999994</v>
      </c>
      <c r="E321" s="6"/>
      <c r="F321" s="6"/>
      <c r="G321" s="6"/>
      <c r="H321" s="33">
        <f>43.8-0.2</f>
        <v>43.599999999999994</v>
      </c>
      <c r="I321" s="20"/>
      <c r="J321" s="20"/>
      <c r="K321" s="20"/>
      <c r="L321" s="20"/>
      <c r="M321" s="23" t="s">
        <v>160</v>
      </c>
    </row>
    <row r="322" spans="1:13" ht="20.399999999999999" x14ac:dyDescent="0.25">
      <c r="A322" s="18" t="s">
        <v>245</v>
      </c>
      <c r="B322" s="16" t="s">
        <v>20</v>
      </c>
      <c r="C322" s="16" t="s">
        <v>16</v>
      </c>
      <c r="D322" s="20">
        <f t="shared" si="54"/>
        <v>59.3</v>
      </c>
      <c r="E322" s="6"/>
      <c r="F322" s="6"/>
      <c r="G322" s="6"/>
      <c r="H322" s="33">
        <f>59.5-0.2</f>
        <v>59.3</v>
      </c>
      <c r="I322" s="20"/>
      <c r="J322" s="20"/>
      <c r="K322" s="20"/>
      <c r="L322" s="20"/>
      <c r="M322" s="23" t="s">
        <v>263</v>
      </c>
    </row>
    <row r="323" spans="1:13" ht="20.399999999999999" x14ac:dyDescent="0.25">
      <c r="A323" s="18" t="s">
        <v>287</v>
      </c>
      <c r="B323" s="16" t="s">
        <v>20</v>
      </c>
      <c r="C323" s="16" t="s">
        <v>16</v>
      </c>
      <c r="D323" s="20">
        <f t="shared" ref="D323" si="56">SUM(E323:L323)</f>
        <v>77.7</v>
      </c>
      <c r="E323" s="6"/>
      <c r="F323" s="6"/>
      <c r="G323" s="6"/>
      <c r="H323" s="33">
        <v>77.7</v>
      </c>
      <c r="I323" s="20"/>
      <c r="J323" s="20"/>
      <c r="K323" s="20"/>
      <c r="L323" s="20"/>
      <c r="M323" s="23" t="s">
        <v>151</v>
      </c>
    </row>
    <row r="324" spans="1:13" ht="23.4" customHeight="1" x14ac:dyDescent="0.25">
      <c r="A324" s="18" t="s">
        <v>326</v>
      </c>
      <c r="B324" s="16" t="s">
        <v>20</v>
      </c>
      <c r="C324" s="16" t="s">
        <v>16</v>
      </c>
      <c r="D324" s="20">
        <f t="shared" ref="D324" si="57">SUM(E324:L324)</f>
        <v>70.7</v>
      </c>
      <c r="E324" s="6"/>
      <c r="F324" s="6"/>
      <c r="G324" s="6"/>
      <c r="H324" s="33">
        <f>50.5+21.4-1.2</f>
        <v>70.7</v>
      </c>
      <c r="I324" s="20"/>
      <c r="J324" s="20"/>
      <c r="K324" s="20"/>
      <c r="L324" s="20"/>
      <c r="M324" s="23" t="s">
        <v>152</v>
      </c>
    </row>
    <row r="325" spans="1:13" ht="20.399999999999999" x14ac:dyDescent="0.25">
      <c r="A325" s="18" t="s">
        <v>318</v>
      </c>
      <c r="B325" s="16" t="s">
        <v>20</v>
      </c>
      <c r="C325" s="16" t="s">
        <v>16</v>
      </c>
      <c r="D325" s="20">
        <f t="shared" si="54"/>
        <v>34.299999999999997</v>
      </c>
      <c r="E325" s="6"/>
      <c r="F325" s="6"/>
      <c r="G325" s="6"/>
      <c r="H325" s="33">
        <v>34.299999999999997</v>
      </c>
      <c r="I325" s="20"/>
      <c r="J325" s="20"/>
      <c r="K325" s="20"/>
      <c r="L325" s="20"/>
      <c r="M325" s="23" t="s">
        <v>160</v>
      </c>
    </row>
    <row r="326" spans="1:13" ht="30.6" x14ac:dyDescent="0.25">
      <c r="A326" s="18" t="s">
        <v>309</v>
      </c>
      <c r="B326" s="16" t="s">
        <v>20</v>
      </c>
      <c r="C326" s="16" t="s">
        <v>16</v>
      </c>
      <c r="D326" s="20">
        <f t="shared" ref="D326" si="58">SUM(E326:L326)</f>
        <v>62.1</v>
      </c>
      <c r="E326" s="6"/>
      <c r="F326" s="6"/>
      <c r="G326" s="6"/>
      <c r="H326" s="33">
        <f>63.1-1</f>
        <v>62.1</v>
      </c>
      <c r="I326" s="20"/>
      <c r="J326" s="20"/>
      <c r="K326" s="20"/>
      <c r="L326" s="20"/>
      <c r="M326" s="23" t="s">
        <v>160</v>
      </c>
    </row>
    <row r="327" spans="1:13" x14ac:dyDescent="0.25">
      <c r="A327" s="18" t="s">
        <v>310</v>
      </c>
      <c r="B327" s="16" t="s">
        <v>20</v>
      </c>
      <c r="C327" s="16" t="s">
        <v>16</v>
      </c>
      <c r="D327" s="20">
        <f t="shared" ref="D327" si="59">SUM(E327:L327)</f>
        <v>267.7</v>
      </c>
      <c r="E327" s="6"/>
      <c r="F327" s="6"/>
      <c r="G327" s="6"/>
      <c r="H327" s="33">
        <v>267.7</v>
      </c>
      <c r="I327" s="20"/>
      <c r="J327" s="20"/>
      <c r="K327" s="20"/>
      <c r="L327" s="20"/>
      <c r="M327" s="23" t="s">
        <v>151</v>
      </c>
    </row>
    <row r="328" spans="1:13" ht="20.399999999999999" x14ac:dyDescent="0.25">
      <c r="A328" s="18" t="s">
        <v>319</v>
      </c>
      <c r="B328" s="16" t="s">
        <v>20</v>
      </c>
      <c r="C328" s="16" t="s">
        <v>16</v>
      </c>
      <c r="D328" s="20">
        <f t="shared" ref="D328" si="60">SUM(E328:L328)</f>
        <v>37.700000000000003</v>
      </c>
      <c r="E328" s="6"/>
      <c r="F328" s="6"/>
      <c r="G328" s="6"/>
      <c r="H328" s="33">
        <v>37.700000000000003</v>
      </c>
      <c r="I328" s="20"/>
      <c r="J328" s="20"/>
      <c r="K328" s="20"/>
      <c r="L328" s="20"/>
      <c r="M328" s="23" t="s">
        <v>152</v>
      </c>
    </row>
    <row r="329" spans="1:13" ht="20.399999999999999" x14ac:dyDescent="0.25">
      <c r="A329" s="18" t="s">
        <v>320</v>
      </c>
      <c r="B329" s="16" t="s">
        <v>20</v>
      </c>
      <c r="C329" s="16" t="s">
        <v>16</v>
      </c>
      <c r="D329" s="20">
        <f t="shared" ref="D329" si="61">SUM(E329:L329)</f>
        <v>229.70000000000002</v>
      </c>
      <c r="E329" s="6"/>
      <c r="F329" s="6"/>
      <c r="G329" s="6"/>
      <c r="H329" s="33">
        <f>383.1-153.4</f>
        <v>229.70000000000002</v>
      </c>
      <c r="I329" s="20"/>
      <c r="J329" s="20"/>
      <c r="K329" s="20"/>
      <c r="L329" s="20"/>
      <c r="M329" s="23" t="s">
        <v>151</v>
      </c>
    </row>
    <row r="330" spans="1:13" ht="20.399999999999999" x14ac:dyDescent="0.25">
      <c r="A330" s="18" t="s">
        <v>321</v>
      </c>
      <c r="B330" s="16" t="s">
        <v>20</v>
      </c>
      <c r="C330" s="16" t="s">
        <v>16</v>
      </c>
      <c r="D330" s="20">
        <f t="shared" ref="D330" si="62">SUM(E330:L330)</f>
        <v>287.60000000000002</v>
      </c>
      <c r="E330" s="6"/>
      <c r="F330" s="6"/>
      <c r="G330" s="6"/>
      <c r="H330" s="33">
        <f>468-180.4</f>
        <v>287.60000000000002</v>
      </c>
      <c r="I330" s="20"/>
      <c r="J330" s="20"/>
      <c r="K330" s="20"/>
      <c r="L330" s="20"/>
      <c r="M330" s="23" t="s">
        <v>242</v>
      </c>
    </row>
    <row r="331" spans="1:13" x14ac:dyDescent="0.25">
      <c r="A331" s="18" t="s">
        <v>322</v>
      </c>
      <c r="B331" s="16" t="s">
        <v>20</v>
      </c>
      <c r="C331" s="16" t="s">
        <v>16</v>
      </c>
      <c r="D331" s="20">
        <f t="shared" ref="D331" si="63">SUM(E331:L331)</f>
        <v>0</v>
      </c>
      <c r="E331" s="6"/>
      <c r="F331" s="6"/>
      <c r="G331" s="6"/>
      <c r="H331" s="33">
        <f>130-130</f>
        <v>0</v>
      </c>
      <c r="I331" s="20"/>
      <c r="J331" s="20"/>
      <c r="K331" s="20"/>
      <c r="L331" s="20"/>
      <c r="M331" s="23" t="s">
        <v>151</v>
      </c>
    </row>
    <row r="332" spans="1:13" ht="30.6" x14ac:dyDescent="0.25">
      <c r="A332" s="18" t="s">
        <v>335</v>
      </c>
      <c r="B332" s="16" t="s">
        <v>20</v>
      </c>
      <c r="C332" s="16" t="s">
        <v>16</v>
      </c>
      <c r="D332" s="20">
        <f t="shared" ref="D332" si="64">SUM(E332:L332)</f>
        <v>674.74919999999997</v>
      </c>
      <c r="E332" s="6"/>
      <c r="F332" s="6"/>
      <c r="G332" s="6"/>
      <c r="H332" s="33"/>
      <c r="I332" s="20"/>
      <c r="J332" s="20"/>
      <c r="K332" s="20"/>
      <c r="L332" s="20">
        <v>674.74919999999997</v>
      </c>
      <c r="M332" s="23" t="s">
        <v>160</v>
      </c>
    </row>
    <row r="333" spans="1:13" ht="20.399999999999999" x14ac:dyDescent="0.25">
      <c r="A333" s="18" t="s">
        <v>336</v>
      </c>
      <c r="B333" s="16" t="s">
        <v>20</v>
      </c>
      <c r="C333" s="16" t="s">
        <v>16</v>
      </c>
      <c r="D333" s="20">
        <f t="shared" ref="D333" si="65">SUM(E333:L333)</f>
        <v>81.688900000000004</v>
      </c>
      <c r="E333" s="6"/>
      <c r="F333" s="6"/>
      <c r="G333" s="6"/>
      <c r="H333" s="33"/>
      <c r="I333" s="20">
        <v>81.688900000000004</v>
      </c>
      <c r="J333" s="20"/>
      <c r="K333" s="20"/>
      <c r="L333" s="20"/>
      <c r="M333" s="23" t="s">
        <v>151</v>
      </c>
    </row>
    <row r="334" spans="1:13" ht="30.6" x14ac:dyDescent="0.25">
      <c r="A334" s="25" t="s">
        <v>358</v>
      </c>
      <c r="B334" s="24" t="s">
        <v>20</v>
      </c>
      <c r="C334" s="24" t="s">
        <v>16</v>
      </c>
      <c r="D334" s="20">
        <f t="shared" ref="D334" si="66">SUM(E334:L334)</f>
        <v>79</v>
      </c>
      <c r="E334" s="6"/>
      <c r="F334" s="6"/>
      <c r="G334" s="6"/>
      <c r="H334" s="33">
        <v>79</v>
      </c>
      <c r="I334" s="20"/>
      <c r="J334" s="20"/>
      <c r="K334" s="20"/>
      <c r="L334" s="20"/>
      <c r="M334" s="23" t="s">
        <v>160</v>
      </c>
    </row>
    <row r="335" spans="1:13" x14ac:dyDescent="0.25">
      <c r="A335" s="43" t="s">
        <v>40</v>
      </c>
      <c r="B335" s="43"/>
      <c r="C335" s="43"/>
      <c r="D335" s="20">
        <f t="shared" si="54"/>
        <v>77102.513040000005</v>
      </c>
      <c r="E335" s="6">
        <f>SUM(E336:E337)</f>
        <v>6349.7</v>
      </c>
      <c r="F335" s="6">
        <f t="shared" ref="F335:L335" si="67">SUM(F336:F337)</f>
        <v>9460.7999999999993</v>
      </c>
      <c r="G335" s="6">
        <f t="shared" si="67"/>
        <v>10373.799999999999</v>
      </c>
      <c r="H335" s="33">
        <f t="shared" si="67"/>
        <v>18723.699999999997</v>
      </c>
      <c r="I335" s="20">
        <f t="shared" si="67"/>
        <v>7452.5520900000001</v>
      </c>
      <c r="J335" s="20">
        <f t="shared" si="67"/>
        <v>4093.6225800000002</v>
      </c>
      <c r="K335" s="20">
        <f t="shared" si="67"/>
        <v>4093.6225800000002</v>
      </c>
      <c r="L335" s="20">
        <f t="shared" si="67"/>
        <v>16554.715789999998</v>
      </c>
      <c r="M335" s="12"/>
    </row>
    <row r="336" spans="1:13" x14ac:dyDescent="0.25">
      <c r="A336" s="43" t="s">
        <v>18</v>
      </c>
      <c r="B336" s="43"/>
      <c r="C336" s="43"/>
      <c r="D336" s="20">
        <f t="shared" si="54"/>
        <v>5431.1</v>
      </c>
      <c r="E336" s="6">
        <f>SUM(SUMIFS(E246:E250,$C246:$C250,"*областной бюджет*"),SUMIFS(E268:E277,$C268:$C277,"*областной бюджет*"),SUMIFS(E319:E334,$C319:$C334,"*областной бюджет*"),SUMIFS(E281:E310,$C281:$C310,"*областной бюджет*"),SUMIFS(E313:E316,$C313:$C316,"*областной бюджет*"))</f>
        <v>393.9</v>
      </c>
      <c r="F336" s="6">
        <f t="shared" ref="F336:L336" si="68">SUM(SUMIFS(F246:F250,$C246:$C250,"*областной бюджет*"),SUMIFS(F268:F277,$C268:$C277,"*областной бюджет*"),SUMIFS(F319:F334,$C319:$C334,"*областной бюджет*"),SUMIFS(F281:F310,$C281:$C310,"*областной бюджет*"),SUMIFS(F313:F316,$C313:$C316,"*областной бюджет*"))</f>
        <v>2532.2999999999997</v>
      </c>
      <c r="G336" s="6">
        <f t="shared" si="68"/>
        <v>2504.9</v>
      </c>
      <c r="H336" s="33">
        <f t="shared" si="68"/>
        <v>0</v>
      </c>
      <c r="I336" s="20">
        <f t="shared" si="68"/>
        <v>0</v>
      </c>
      <c r="J336" s="20">
        <f t="shared" si="68"/>
        <v>0</v>
      </c>
      <c r="K336" s="20">
        <f t="shared" si="68"/>
        <v>0</v>
      </c>
      <c r="L336" s="20">
        <f t="shared" si="68"/>
        <v>0</v>
      </c>
      <c r="M336" s="22"/>
    </row>
    <row r="337" spans="1:13" x14ac:dyDescent="0.25">
      <c r="A337" s="43" t="s">
        <v>19</v>
      </c>
      <c r="B337" s="43"/>
      <c r="C337" s="43"/>
      <c r="D337" s="20">
        <f t="shared" si="54"/>
        <v>71671.413039999999</v>
      </c>
      <c r="E337" s="6">
        <f>SUM(SUMIFS(E246:E250,$C$246:$C$250,"*местный бюджет*"),SUMIFS(E268:E277,$C$268:$C$277,"*местный бюджет*"),SUMIFS(E281:E310,$C281:$C310,"*местный бюджет*"),SUMIFS(E319:E334,$C319:$C334,"*местный бюджет*"),SUMIFS(E313:E316,$C313:$C316,"*местный бюджет*"))</f>
        <v>5955.8</v>
      </c>
      <c r="F337" s="6">
        <f t="shared" ref="F337:L337" si="69">SUM(SUMIFS(F246:F250,$C$246:$C$250,"*местный бюджет*"),SUMIFS(F268:F277,$C$268:$C$277,"*местный бюджет*"),SUMIFS(F281:F310,$C281:$C310,"*местный бюджет*"),SUMIFS(F319:F334,$C319:$C334,"*местный бюджет*"),SUMIFS(F313:F316,$C313:$C316,"*местный бюджет*"))</f>
        <v>6928.5</v>
      </c>
      <c r="G337" s="6">
        <f t="shared" si="69"/>
        <v>7868.9</v>
      </c>
      <c r="H337" s="33">
        <f t="shared" si="69"/>
        <v>18723.699999999997</v>
      </c>
      <c r="I337" s="20">
        <f t="shared" si="69"/>
        <v>7452.5520900000001</v>
      </c>
      <c r="J337" s="20">
        <f t="shared" si="69"/>
        <v>4093.6225800000002</v>
      </c>
      <c r="K337" s="20">
        <f t="shared" si="69"/>
        <v>4093.6225800000002</v>
      </c>
      <c r="L337" s="20">
        <f t="shared" si="69"/>
        <v>16554.715789999998</v>
      </c>
      <c r="M337" s="22"/>
    </row>
    <row r="338" spans="1:13" x14ac:dyDescent="0.25">
      <c r="A338" s="42" t="s">
        <v>41</v>
      </c>
      <c r="B338" s="42"/>
      <c r="C338" s="42"/>
      <c r="D338" s="42"/>
      <c r="E338" s="42"/>
      <c r="F338" s="42"/>
      <c r="G338" s="42"/>
      <c r="H338" s="42"/>
      <c r="I338" s="42"/>
      <c r="J338" s="42"/>
      <c r="K338" s="42"/>
      <c r="L338" s="42"/>
      <c r="M338" s="42"/>
    </row>
    <row r="339" spans="1:13" ht="20.399999999999999" x14ac:dyDescent="0.25">
      <c r="A339" s="17" t="s">
        <v>42</v>
      </c>
      <c r="B339" s="16" t="s">
        <v>113</v>
      </c>
      <c r="C339" s="16" t="s">
        <v>16</v>
      </c>
      <c r="D339" s="20">
        <f t="shared" ref="D339:D358" si="70">SUM(E339:L339)</f>
        <v>8534.5259999999998</v>
      </c>
      <c r="E339" s="6">
        <v>1401.4</v>
      </c>
      <c r="F339" s="6">
        <v>1401.4</v>
      </c>
      <c r="G339" s="6">
        <v>1401.4</v>
      </c>
      <c r="H339" s="33">
        <v>1401.4</v>
      </c>
      <c r="I339" s="20">
        <v>1464.463</v>
      </c>
      <c r="J339" s="20"/>
      <c r="K339" s="20"/>
      <c r="L339" s="20">
        <v>1464.463</v>
      </c>
      <c r="M339" s="23" t="s">
        <v>236</v>
      </c>
    </row>
    <row r="340" spans="1:13" ht="30.6" x14ac:dyDescent="0.25">
      <c r="A340" s="17" t="s">
        <v>43</v>
      </c>
      <c r="B340" s="16" t="s">
        <v>20</v>
      </c>
      <c r="C340" s="16" t="s">
        <v>16</v>
      </c>
      <c r="D340" s="20">
        <f t="shared" si="70"/>
        <v>824.9</v>
      </c>
      <c r="E340" s="6">
        <v>761.3</v>
      </c>
      <c r="F340" s="6">
        <v>63.6</v>
      </c>
      <c r="G340" s="6"/>
      <c r="H340" s="33"/>
      <c r="I340" s="20"/>
      <c r="J340" s="20"/>
      <c r="K340" s="20"/>
      <c r="L340" s="20"/>
      <c r="M340" s="23" t="s">
        <v>264</v>
      </c>
    </row>
    <row r="341" spans="1:13" ht="30.6" x14ac:dyDescent="0.25">
      <c r="A341" s="17" t="s">
        <v>114</v>
      </c>
      <c r="B341" s="16" t="s">
        <v>20</v>
      </c>
      <c r="C341" s="16" t="s">
        <v>46</v>
      </c>
      <c r="D341" s="20">
        <f t="shared" si="70"/>
        <v>433.34891999999991</v>
      </c>
      <c r="E341" s="6">
        <v>184.1</v>
      </c>
      <c r="F341" s="6">
        <v>159.69999999999999</v>
      </c>
      <c r="G341" s="6">
        <v>15.2</v>
      </c>
      <c r="H341" s="33">
        <v>64.599999999999994</v>
      </c>
      <c r="I341" s="20">
        <v>2.43723</v>
      </c>
      <c r="J341" s="20">
        <v>2.43723</v>
      </c>
      <c r="K341" s="20">
        <v>2.43723</v>
      </c>
      <c r="L341" s="20">
        <v>2.43723</v>
      </c>
      <c r="M341" s="23" t="s">
        <v>265</v>
      </c>
    </row>
    <row r="342" spans="1:13" ht="12.75" customHeight="1" x14ac:dyDescent="0.25">
      <c r="A342" s="42" t="s">
        <v>90</v>
      </c>
      <c r="B342" s="44" t="s">
        <v>21</v>
      </c>
      <c r="C342" s="16" t="s">
        <v>17</v>
      </c>
      <c r="D342" s="20">
        <f t="shared" si="70"/>
        <v>14417.594719999997</v>
      </c>
      <c r="E342" s="6">
        <f>SUM(E343:E344)</f>
        <v>1657.8999999999999</v>
      </c>
      <c r="F342" s="6">
        <f t="shared" ref="F342:L342" si="71">SUM(F343:F344)</f>
        <v>1650</v>
      </c>
      <c r="G342" s="6">
        <f t="shared" si="71"/>
        <v>1897.4</v>
      </c>
      <c r="H342" s="33">
        <f t="shared" si="71"/>
        <v>1849</v>
      </c>
      <c r="I342" s="20">
        <f t="shared" si="71"/>
        <v>1925.2456999999999</v>
      </c>
      <c r="J342" s="20">
        <f t="shared" si="71"/>
        <v>1763.5250699999999</v>
      </c>
      <c r="K342" s="20">
        <f t="shared" si="71"/>
        <v>1749.2782500000001</v>
      </c>
      <c r="L342" s="20">
        <f t="shared" si="71"/>
        <v>1925.2456999999999</v>
      </c>
      <c r="M342" s="40" t="s">
        <v>229</v>
      </c>
    </row>
    <row r="343" spans="1:13" x14ac:dyDescent="0.25">
      <c r="A343" s="42"/>
      <c r="B343" s="44"/>
      <c r="C343" s="16" t="s">
        <v>19</v>
      </c>
      <c r="D343" s="20">
        <f t="shared" si="70"/>
        <v>14181.294719999998</v>
      </c>
      <c r="E343" s="6">
        <v>1421.6</v>
      </c>
      <c r="F343" s="6">
        <f>1615.9+34.1</f>
        <v>1650</v>
      </c>
      <c r="G343" s="6">
        <f>1462.4+435</f>
        <v>1897.4</v>
      </c>
      <c r="H343" s="33">
        <f>1848.9+0.1</f>
        <v>1849</v>
      </c>
      <c r="I343" s="20">
        <v>1925.2456999999999</v>
      </c>
      <c r="J343" s="20">
        <v>1763.5250699999999</v>
      </c>
      <c r="K343" s="20">
        <v>1749.2782500000001</v>
      </c>
      <c r="L343" s="20">
        <v>1925.2456999999999</v>
      </c>
      <c r="M343" s="41"/>
    </row>
    <row r="344" spans="1:13" ht="15" customHeight="1" x14ac:dyDescent="0.25">
      <c r="A344" s="42"/>
      <c r="B344" s="44"/>
      <c r="C344" s="16" t="s">
        <v>18</v>
      </c>
      <c r="D344" s="20">
        <f t="shared" si="70"/>
        <v>236.3</v>
      </c>
      <c r="E344" s="6">
        <v>236.3</v>
      </c>
      <c r="F344" s="6"/>
      <c r="G344" s="6"/>
      <c r="H344" s="33"/>
      <c r="I344" s="20"/>
      <c r="J344" s="20"/>
      <c r="K344" s="20"/>
      <c r="L344" s="20"/>
      <c r="M344" s="41"/>
    </row>
    <row r="345" spans="1:13" ht="27" customHeight="1" x14ac:dyDescent="0.25">
      <c r="A345" s="17" t="s">
        <v>73</v>
      </c>
      <c r="B345" s="16" t="s">
        <v>20</v>
      </c>
      <c r="C345" s="16" t="s">
        <v>16</v>
      </c>
      <c r="D345" s="20">
        <f t="shared" si="70"/>
        <v>75</v>
      </c>
      <c r="E345" s="6">
        <f>130-55</f>
        <v>75</v>
      </c>
      <c r="F345" s="6"/>
      <c r="G345" s="6"/>
      <c r="H345" s="33"/>
      <c r="I345" s="20"/>
      <c r="J345" s="20"/>
      <c r="K345" s="20"/>
      <c r="L345" s="20"/>
      <c r="M345" s="23" t="s">
        <v>249</v>
      </c>
    </row>
    <row r="346" spans="1:13" ht="30.6" customHeight="1" x14ac:dyDescent="0.25">
      <c r="A346" s="17" t="s">
        <v>163</v>
      </c>
      <c r="B346" s="16" t="s">
        <v>20</v>
      </c>
      <c r="C346" s="16" t="s">
        <v>16</v>
      </c>
      <c r="D346" s="20">
        <f t="shared" si="70"/>
        <v>52</v>
      </c>
      <c r="E346" s="6">
        <v>20</v>
      </c>
      <c r="F346" s="6"/>
      <c r="G346" s="6">
        <v>32</v>
      </c>
      <c r="H346" s="33"/>
      <c r="I346" s="20"/>
      <c r="J346" s="20"/>
      <c r="K346" s="20"/>
      <c r="L346" s="20"/>
      <c r="M346" s="23" t="s">
        <v>132</v>
      </c>
    </row>
    <row r="347" spans="1:13" x14ac:dyDescent="0.25">
      <c r="A347" s="17" t="s">
        <v>47</v>
      </c>
      <c r="B347" s="16" t="s">
        <v>241</v>
      </c>
      <c r="C347" s="16" t="s">
        <v>16</v>
      </c>
      <c r="D347" s="20">
        <f t="shared" si="70"/>
        <v>1355.4</v>
      </c>
      <c r="E347" s="6"/>
      <c r="F347" s="6"/>
      <c r="G347" s="6"/>
      <c r="H347" s="33"/>
      <c r="I347" s="20"/>
      <c r="J347" s="20"/>
      <c r="K347" s="20"/>
      <c r="L347" s="20">
        <f>677.7+677.7</f>
        <v>1355.4</v>
      </c>
      <c r="M347" s="23" t="s">
        <v>248</v>
      </c>
    </row>
    <row r="348" spans="1:13" ht="20.399999999999999" x14ac:dyDescent="0.25">
      <c r="A348" s="17" t="s">
        <v>48</v>
      </c>
      <c r="B348" s="16" t="s">
        <v>20</v>
      </c>
      <c r="C348" s="16" t="s">
        <v>16</v>
      </c>
      <c r="D348" s="20">
        <f t="shared" si="70"/>
        <v>141.4</v>
      </c>
      <c r="E348" s="6"/>
      <c r="F348" s="6"/>
      <c r="G348" s="6"/>
      <c r="H348" s="33"/>
      <c r="I348" s="20"/>
      <c r="J348" s="20"/>
      <c r="K348" s="20"/>
      <c r="L348" s="20">
        <v>141.4</v>
      </c>
      <c r="M348" s="23" t="s">
        <v>185</v>
      </c>
    </row>
    <row r="349" spans="1:13" x14ac:dyDescent="0.25">
      <c r="A349" s="17" t="s">
        <v>74</v>
      </c>
      <c r="B349" s="16" t="s">
        <v>20</v>
      </c>
      <c r="C349" s="16" t="s">
        <v>16</v>
      </c>
      <c r="D349" s="20">
        <f t="shared" si="70"/>
        <v>268.59999999999997</v>
      </c>
      <c r="E349" s="6">
        <f>355.9-87.3</f>
        <v>268.59999999999997</v>
      </c>
      <c r="F349" s="6"/>
      <c r="G349" s="6"/>
      <c r="H349" s="33"/>
      <c r="I349" s="20"/>
      <c r="J349" s="20"/>
      <c r="K349" s="20"/>
      <c r="L349" s="20"/>
      <c r="M349" s="23" t="s">
        <v>250</v>
      </c>
    </row>
    <row r="350" spans="1:13" ht="38.4" customHeight="1" x14ac:dyDescent="0.25">
      <c r="A350" s="17" t="s">
        <v>62</v>
      </c>
      <c r="B350" s="16" t="s">
        <v>20</v>
      </c>
      <c r="C350" s="16" t="s">
        <v>16</v>
      </c>
      <c r="D350" s="20">
        <f t="shared" si="70"/>
        <v>4631.9555</v>
      </c>
      <c r="E350" s="6">
        <f>SUM(E351:E352)</f>
        <v>0.1</v>
      </c>
      <c r="F350" s="6">
        <f t="shared" ref="F350:L350" si="72">SUM(F351:F352)</f>
        <v>761.4</v>
      </c>
      <c r="G350" s="6">
        <f t="shared" si="72"/>
        <v>761.4</v>
      </c>
      <c r="H350" s="33">
        <f t="shared" si="72"/>
        <v>761.4</v>
      </c>
      <c r="I350" s="20">
        <f t="shared" si="72"/>
        <v>761.39625000000001</v>
      </c>
      <c r="J350" s="20">
        <f t="shared" si="72"/>
        <v>761.39600000000007</v>
      </c>
      <c r="K350" s="20">
        <f t="shared" si="72"/>
        <v>63.466250000000002</v>
      </c>
      <c r="L350" s="20">
        <f t="shared" si="72"/>
        <v>761.39700000000005</v>
      </c>
      <c r="M350" s="40" t="s">
        <v>251</v>
      </c>
    </row>
    <row r="351" spans="1:13" ht="45.6" customHeight="1" x14ac:dyDescent="0.25">
      <c r="A351" s="15" t="s">
        <v>75</v>
      </c>
      <c r="B351" s="16" t="s">
        <v>20</v>
      </c>
      <c r="C351" s="16" t="s">
        <v>16</v>
      </c>
      <c r="D351" s="21">
        <f t="shared" si="70"/>
        <v>4631.4852499999997</v>
      </c>
      <c r="E351" s="8"/>
      <c r="F351" s="8">
        <v>761.3</v>
      </c>
      <c r="G351" s="8">
        <v>761.3</v>
      </c>
      <c r="H351" s="34">
        <v>761.3</v>
      </c>
      <c r="I351" s="21">
        <v>761.37900000000002</v>
      </c>
      <c r="J351" s="21">
        <v>761.37900000000002</v>
      </c>
      <c r="K351" s="21">
        <v>63.448250000000002</v>
      </c>
      <c r="L351" s="21">
        <v>761.37900000000002</v>
      </c>
      <c r="M351" s="41"/>
    </row>
    <row r="352" spans="1:13" ht="50.4" customHeight="1" x14ac:dyDescent="0.25">
      <c r="A352" s="15" t="s">
        <v>76</v>
      </c>
      <c r="B352" s="16" t="s">
        <v>20</v>
      </c>
      <c r="C352" s="16" t="s">
        <v>16</v>
      </c>
      <c r="D352" s="21">
        <f t="shared" si="70"/>
        <v>0.47025000000000006</v>
      </c>
      <c r="E352" s="8">
        <v>0.1</v>
      </c>
      <c r="F352" s="8">
        <v>0.1</v>
      </c>
      <c r="G352" s="8">
        <v>0.1</v>
      </c>
      <c r="H352" s="34">
        <v>0.1</v>
      </c>
      <c r="I352" s="21">
        <v>1.7250000000000001E-2</v>
      </c>
      <c r="J352" s="21">
        <v>1.7000000000000001E-2</v>
      </c>
      <c r="K352" s="21">
        <v>1.7999999999999999E-2</v>
      </c>
      <c r="L352" s="21">
        <v>1.7999999999999999E-2</v>
      </c>
      <c r="M352" s="41"/>
    </row>
    <row r="353" spans="1:13" ht="25.2" customHeight="1" x14ac:dyDescent="0.25">
      <c r="A353" s="17" t="s">
        <v>63</v>
      </c>
      <c r="B353" s="16" t="s">
        <v>20</v>
      </c>
      <c r="C353" s="16" t="s">
        <v>16</v>
      </c>
      <c r="D353" s="20">
        <f t="shared" si="70"/>
        <v>30</v>
      </c>
      <c r="E353" s="6">
        <v>30</v>
      </c>
      <c r="F353" s="6"/>
      <c r="G353" s="6"/>
      <c r="H353" s="33">
        <f>50-50</f>
        <v>0</v>
      </c>
      <c r="I353" s="20"/>
      <c r="J353" s="20"/>
      <c r="K353" s="20"/>
      <c r="L353" s="20"/>
      <c r="M353" s="23" t="s">
        <v>233</v>
      </c>
    </row>
    <row r="354" spans="1:13" ht="82.2" customHeight="1" x14ac:dyDescent="0.25">
      <c r="A354" s="17" t="s">
        <v>296</v>
      </c>
      <c r="B354" s="16" t="s">
        <v>20</v>
      </c>
      <c r="C354" s="16" t="s">
        <v>16</v>
      </c>
      <c r="D354" s="20">
        <f t="shared" si="70"/>
        <v>34.6</v>
      </c>
      <c r="E354" s="6">
        <v>7.4</v>
      </c>
      <c r="F354" s="6">
        <v>4.9000000000000004</v>
      </c>
      <c r="G354" s="6">
        <v>7.4</v>
      </c>
      <c r="H354" s="33">
        <f>7.6-0.4</f>
        <v>7.1999999999999993</v>
      </c>
      <c r="I354" s="20"/>
      <c r="J354" s="20"/>
      <c r="K354" s="20"/>
      <c r="L354" s="20">
        <v>7.7</v>
      </c>
      <c r="M354" s="23" t="s">
        <v>297</v>
      </c>
    </row>
    <row r="355" spans="1:13" ht="20.399999999999999" x14ac:dyDescent="0.25">
      <c r="A355" s="17" t="s">
        <v>111</v>
      </c>
      <c r="B355" s="16" t="s">
        <v>20</v>
      </c>
      <c r="C355" s="16" t="s">
        <v>16</v>
      </c>
      <c r="D355" s="20">
        <f t="shared" si="70"/>
        <v>40.5</v>
      </c>
      <c r="E355" s="6"/>
      <c r="F355" s="6">
        <f>42.4-1.9</f>
        <v>40.5</v>
      </c>
      <c r="G355" s="6"/>
      <c r="H355" s="33"/>
      <c r="I355" s="20"/>
      <c r="J355" s="20"/>
      <c r="K355" s="20"/>
      <c r="L355" s="20"/>
      <c r="M355" s="23" t="s">
        <v>151</v>
      </c>
    </row>
    <row r="356" spans="1:13" ht="20.399999999999999" customHeight="1" x14ac:dyDescent="0.25">
      <c r="A356" s="17" t="s">
        <v>334</v>
      </c>
      <c r="B356" s="16" t="s">
        <v>20</v>
      </c>
      <c r="C356" s="16" t="s">
        <v>16</v>
      </c>
      <c r="D356" s="20">
        <f t="shared" si="70"/>
        <v>865</v>
      </c>
      <c r="E356" s="6">
        <f>70+70</f>
        <v>140</v>
      </c>
      <c r="F356" s="6">
        <f>60+100</f>
        <v>160</v>
      </c>
      <c r="G356" s="6">
        <v>125</v>
      </c>
      <c r="H356" s="33">
        <v>60</v>
      </c>
      <c r="I356" s="20">
        <v>180</v>
      </c>
      <c r="J356" s="20">
        <v>100</v>
      </c>
      <c r="K356" s="20">
        <v>100</v>
      </c>
      <c r="L356" s="20"/>
      <c r="M356" s="23" t="s">
        <v>252</v>
      </c>
    </row>
    <row r="357" spans="1:13" ht="20.399999999999999" x14ac:dyDescent="0.25">
      <c r="A357" s="17" t="s">
        <v>246</v>
      </c>
      <c r="B357" s="16" t="s">
        <v>20</v>
      </c>
      <c r="C357" s="16" t="s">
        <v>16</v>
      </c>
      <c r="D357" s="20">
        <f t="shared" si="70"/>
        <v>91.4</v>
      </c>
      <c r="E357" s="6"/>
      <c r="F357" s="6"/>
      <c r="G357" s="6">
        <v>91.4</v>
      </c>
      <c r="H357" s="33"/>
      <c r="I357" s="20"/>
      <c r="J357" s="20"/>
      <c r="K357" s="20"/>
      <c r="L357" s="20"/>
      <c r="M357" s="23" t="s">
        <v>151</v>
      </c>
    </row>
    <row r="358" spans="1:13" x14ac:dyDescent="0.25">
      <c r="A358" s="17" t="s">
        <v>299</v>
      </c>
      <c r="B358" s="16" t="s">
        <v>20</v>
      </c>
      <c r="C358" s="16" t="s">
        <v>16</v>
      </c>
      <c r="D358" s="20">
        <f t="shared" si="70"/>
        <v>304.3</v>
      </c>
      <c r="E358" s="6"/>
      <c r="F358" s="6"/>
      <c r="G358" s="6"/>
      <c r="H358" s="33">
        <f>379.6-64.1-11.2</f>
        <v>304.3</v>
      </c>
      <c r="I358" s="20"/>
      <c r="J358" s="20"/>
      <c r="K358" s="20"/>
      <c r="L358" s="20"/>
      <c r="M358" s="23" t="s">
        <v>151</v>
      </c>
    </row>
    <row r="359" spans="1:13" ht="21.6" x14ac:dyDescent="0.25">
      <c r="A359" s="17" t="s">
        <v>184</v>
      </c>
      <c r="B359" s="16"/>
      <c r="C359" s="16"/>
      <c r="D359" s="20"/>
      <c r="E359" s="6"/>
      <c r="F359" s="6"/>
      <c r="G359" s="6"/>
      <c r="H359" s="33"/>
      <c r="I359" s="20"/>
      <c r="J359" s="20"/>
      <c r="K359" s="20"/>
      <c r="L359" s="20"/>
      <c r="M359" s="23"/>
    </row>
    <row r="360" spans="1:13" ht="28.8" customHeight="1" x14ac:dyDescent="0.25">
      <c r="A360" s="17" t="s">
        <v>226</v>
      </c>
      <c r="B360" s="16" t="s">
        <v>20</v>
      </c>
      <c r="C360" s="16" t="s">
        <v>16</v>
      </c>
      <c r="D360" s="20">
        <f t="shared" ref="D360:D381" si="73">SUM(E360:L360)</f>
        <v>2250.2367199999999</v>
      </c>
      <c r="E360" s="6">
        <f>SUM(E361:E363)</f>
        <v>0</v>
      </c>
      <c r="F360" s="6">
        <f t="shared" ref="F360:L360" si="74">SUM(F361:F363)</f>
        <v>0</v>
      </c>
      <c r="G360" s="6">
        <f t="shared" si="74"/>
        <v>179.1</v>
      </c>
      <c r="H360" s="33">
        <f t="shared" si="74"/>
        <v>392.79999999999995</v>
      </c>
      <c r="I360" s="20">
        <f t="shared" si="74"/>
        <v>419.58418</v>
      </c>
      <c r="J360" s="20">
        <f t="shared" si="74"/>
        <v>419.58418</v>
      </c>
      <c r="K360" s="20">
        <f t="shared" si="74"/>
        <v>419.58418</v>
      </c>
      <c r="L360" s="20">
        <f t="shared" si="74"/>
        <v>419.58418</v>
      </c>
      <c r="M360" s="40" t="s">
        <v>225</v>
      </c>
    </row>
    <row r="361" spans="1:13" x14ac:dyDescent="0.25">
      <c r="A361" s="15" t="s">
        <v>227</v>
      </c>
      <c r="B361" s="16" t="s">
        <v>20</v>
      </c>
      <c r="C361" s="16" t="s">
        <v>16</v>
      </c>
      <c r="D361" s="21">
        <f t="shared" si="73"/>
        <v>2185.1779999999999</v>
      </c>
      <c r="E361" s="8"/>
      <c r="F361" s="8"/>
      <c r="G361" s="8">
        <v>174.8</v>
      </c>
      <c r="H361" s="34">
        <f>493.9+1.3-114.4</f>
        <v>380.79999999999995</v>
      </c>
      <c r="I361" s="21">
        <v>407.39449999999999</v>
      </c>
      <c r="J361" s="21">
        <v>407.39449999999999</v>
      </c>
      <c r="K361" s="21">
        <v>407.39449999999999</v>
      </c>
      <c r="L361" s="21">
        <v>407.39449999999999</v>
      </c>
      <c r="M361" s="40"/>
    </row>
    <row r="362" spans="1:13" ht="40.799999999999997" x14ac:dyDescent="0.25">
      <c r="A362" s="15" t="s">
        <v>281</v>
      </c>
      <c r="B362" s="16" t="s">
        <v>20</v>
      </c>
      <c r="C362" s="16" t="s">
        <v>16</v>
      </c>
      <c r="D362" s="21">
        <f t="shared" si="73"/>
        <v>32.074719999999999</v>
      </c>
      <c r="E362" s="8"/>
      <c r="F362" s="8"/>
      <c r="G362" s="8">
        <v>2.2000000000000002</v>
      </c>
      <c r="H362" s="34">
        <f>5.7+0.3</f>
        <v>6</v>
      </c>
      <c r="I362" s="21">
        <v>5.96868</v>
      </c>
      <c r="J362" s="21">
        <v>5.96868</v>
      </c>
      <c r="K362" s="21">
        <v>5.96868</v>
      </c>
      <c r="L362" s="21">
        <v>5.96868</v>
      </c>
      <c r="M362" s="40"/>
    </row>
    <row r="363" spans="1:13" ht="40.799999999999997" x14ac:dyDescent="0.25">
      <c r="A363" s="15" t="s">
        <v>280</v>
      </c>
      <c r="B363" s="16" t="s">
        <v>20</v>
      </c>
      <c r="C363" s="16" t="s">
        <v>16</v>
      </c>
      <c r="D363" s="21">
        <f t="shared" si="73"/>
        <v>32.984000000000002</v>
      </c>
      <c r="E363" s="8"/>
      <c r="F363" s="8"/>
      <c r="G363" s="8">
        <v>2.1</v>
      </c>
      <c r="H363" s="34">
        <v>6</v>
      </c>
      <c r="I363" s="21">
        <v>6.2210000000000001</v>
      </c>
      <c r="J363" s="21">
        <v>6.2210000000000001</v>
      </c>
      <c r="K363" s="21">
        <v>6.2210000000000001</v>
      </c>
      <c r="L363" s="21">
        <v>6.2210000000000001</v>
      </c>
      <c r="M363" s="40"/>
    </row>
    <row r="364" spans="1:13" x14ac:dyDescent="0.25">
      <c r="A364" s="17" t="s">
        <v>162</v>
      </c>
      <c r="B364" s="16" t="s">
        <v>20</v>
      </c>
      <c r="C364" s="16" t="s">
        <v>16</v>
      </c>
      <c r="D364" s="20">
        <f>SUM(E364:L364)</f>
        <v>20</v>
      </c>
      <c r="E364" s="6"/>
      <c r="F364" s="6"/>
      <c r="G364" s="6">
        <v>20</v>
      </c>
      <c r="H364" s="33"/>
      <c r="I364" s="20"/>
      <c r="J364" s="20"/>
      <c r="K364" s="20"/>
      <c r="L364" s="20"/>
      <c r="M364" s="23" t="s">
        <v>225</v>
      </c>
    </row>
    <row r="365" spans="1:13" x14ac:dyDescent="0.25">
      <c r="A365" s="17" t="s">
        <v>196</v>
      </c>
      <c r="B365" s="16" t="s">
        <v>20</v>
      </c>
      <c r="C365" s="16" t="s">
        <v>16</v>
      </c>
      <c r="D365" s="20">
        <f>SUM(E365:L365)</f>
        <v>30.2</v>
      </c>
      <c r="E365" s="6"/>
      <c r="F365" s="6"/>
      <c r="G365" s="6">
        <v>30.2</v>
      </c>
      <c r="H365" s="33"/>
      <c r="I365" s="20"/>
      <c r="J365" s="20"/>
      <c r="K365" s="20"/>
      <c r="L365" s="20"/>
      <c r="M365" s="23" t="s">
        <v>151</v>
      </c>
    </row>
    <row r="366" spans="1:13" ht="24" customHeight="1" x14ac:dyDescent="0.25">
      <c r="A366" s="17" t="s">
        <v>253</v>
      </c>
      <c r="B366" s="16" t="s">
        <v>237</v>
      </c>
      <c r="C366" s="16" t="s">
        <v>16</v>
      </c>
      <c r="D366" s="20">
        <f>SUM(E366:L366)</f>
        <v>2000.5</v>
      </c>
      <c r="E366" s="6"/>
      <c r="F366" s="6"/>
      <c r="G366" s="6">
        <v>400.2</v>
      </c>
      <c r="H366" s="33">
        <v>400.1</v>
      </c>
      <c r="I366" s="20">
        <v>400.1</v>
      </c>
      <c r="J366" s="20">
        <v>200</v>
      </c>
      <c r="K366" s="20">
        <v>200</v>
      </c>
      <c r="L366" s="20">
        <v>400.1</v>
      </c>
      <c r="M366" s="23" t="s">
        <v>257</v>
      </c>
    </row>
    <row r="367" spans="1:13" x14ac:dyDescent="0.25">
      <c r="A367" s="17" t="s">
        <v>192</v>
      </c>
      <c r="B367" s="16" t="s">
        <v>20</v>
      </c>
      <c r="C367" s="16" t="s">
        <v>16</v>
      </c>
      <c r="D367" s="20">
        <f>SUM(E367:L367)</f>
        <v>12</v>
      </c>
      <c r="E367" s="6"/>
      <c r="F367" s="6"/>
      <c r="G367" s="6">
        <v>12</v>
      </c>
      <c r="H367" s="33"/>
      <c r="I367" s="20"/>
      <c r="J367" s="20"/>
      <c r="K367" s="20"/>
      <c r="L367" s="20"/>
      <c r="M367" s="23" t="s">
        <v>151</v>
      </c>
    </row>
    <row r="368" spans="1:13" ht="20.399999999999999" x14ac:dyDescent="0.25">
      <c r="A368" s="17" t="s">
        <v>193</v>
      </c>
      <c r="B368" s="16" t="s">
        <v>20</v>
      </c>
      <c r="C368" s="16" t="s">
        <v>16</v>
      </c>
      <c r="D368" s="20">
        <f t="shared" si="73"/>
        <v>55</v>
      </c>
      <c r="E368" s="6"/>
      <c r="F368" s="6"/>
      <c r="G368" s="6">
        <v>55</v>
      </c>
      <c r="H368" s="33"/>
      <c r="I368" s="20"/>
      <c r="J368" s="20"/>
      <c r="K368" s="20"/>
      <c r="L368" s="20"/>
      <c r="M368" s="23" t="s">
        <v>199</v>
      </c>
    </row>
    <row r="369" spans="1:13" ht="30.6" customHeight="1" x14ac:dyDescent="0.25">
      <c r="A369" s="17" t="s">
        <v>201</v>
      </c>
      <c r="B369" s="16" t="s">
        <v>20</v>
      </c>
      <c r="C369" s="16" t="s">
        <v>16</v>
      </c>
      <c r="D369" s="20">
        <f t="shared" si="73"/>
        <v>22.1</v>
      </c>
      <c r="E369" s="6"/>
      <c r="F369" s="6"/>
      <c r="G369" s="6">
        <v>22.1</v>
      </c>
      <c r="H369" s="33"/>
      <c r="I369" s="20"/>
      <c r="J369" s="20"/>
      <c r="K369" s="20"/>
      <c r="L369" s="20"/>
      <c r="M369" s="23" t="s">
        <v>151</v>
      </c>
    </row>
    <row r="370" spans="1:13" x14ac:dyDescent="0.25">
      <c r="A370" s="42" t="s">
        <v>207</v>
      </c>
      <c r="B370" s="44" t="s">
        <v>20</v>
      </c>
      <c r="C370" s="16" t="s">
        <v>17</v>
      </c>
      <c r="D370" s="20">
        <f>SUM(E370:L370)</f>
        <v>169</v>
      </c>
      <c r="E370" s="6"/>
      <c r="F370" s="6"/>
      <c r="G370" s="6">
        <f>SUM(G371:G373)</f>
        <v>169</v>
      </c>
      <c r="H370" s="33"/>
      <c r="I370" s="20"/>
      <c r="J370" s="20"/>
      <c r="K370" s="20"/>
      <c r="L370" s="20"/>
      <c r="M370" s="40" t="s">
        <v>208</v>
      </c>
    </row>
    <row r="371" spans="1:13" x14ac:dyDescent="0.25">
      <c r="A371" s="42"/>
      <c r="B371" s="44"/>
      <c r="C371" s="16" t="s">
        <v>223</v>
      </c>
      <c r="D371" s="20">
        <f t="shared" si="73"/>
        <v>79.600000000000009</v>
      </c>
      <c r="E371" s="6"/>
      <c r="F371" s="6"/>
      <c r="G371" s="6">
        <f>G375+G379</f>
        <v>79.600000000000009</v>
      </c>
      <c r="H371" s="33"/>
      <c r="I371" s="20"/>
      <c r="J371" s="20"/>
      <c r="K371" s="20"/>
      <c r="L371" s="20"/>
      <c r="M371" s="40"/>
    </row>
    <row r="372" spans="1:13" x14ac:dyDescent="0.25">
      <c r="A372" s="42"/>
      <c r="B372" s="44"/>
      <c r="C372" s="16" t="s">
        <v>18</v>
      </c>
      <c r="D372" s="20">
        <f t="shared" si="73"/>
        <v>8.9</v>
      </c>
      <c r="E372" s="6"/>
      <c r="F372" s="6"/>
      <c r="G372" s="6">
        <f>G376+G380</f>
        <v>8.9</v>
      </c>
      <c r="H372" s="33"/>
      <c r="I372" s="20"/>
      <c r="J372" s="20"/>
      <c r="K372" s="20"/>
      <c r="L372" s="20"/>
      <c r="M372" s="40"/>
    </row>
    <row r="373" spans="1:13" ht="13.8" customHeight="1" x14ac:dyDescent="0.25">
      <c r="A373" s="42"/>
      <c r="B373" s="44"/>
      <c r="C373" s="16" t="s">
        <v>19</v>
      </c>
      <c r="D373" s="20">
        <f t="shared" si="73"/>
        <v>80.5</v>
      </c>
      <c r="E373" s="6"/>
      <c r="F373" s="6"/>
      <c r="G373" s="6">
        <f>G377+G381</f>
        <v>80.5</v>
      </c>
      <c r="H373" s="33"/>
      <c r="I373" s="20"/>
      <c r="J373" s="20"/>
      <c r="K373" s="20"/>
      <c r="L373" s="20"/>
      <c r="M373" s="40"/>
    </row>
    <row r="374" spans="1:13" x14ac:dyDescent="0.25">
      <c r="A374" s="42" t="s">
        <v>213</v>
      </c>
      <c r="B374" s="44" t="s">
        <v>20</v>
      </c>
      <c r="C374" s="16" t="s">
        <v>17</v>
      </c>
      <c r="D374" s="20">
        <f t="shared" si="73"/>
        <v>102.8</v>
      </c>
      <c r="E374" s="6"/>
      <c r="F374" s="6"/>
      <c r="G374" s="6">
        <f>SUM(G375:G377)</f>
        <v>102.8</v>
      </c>
      <c r="H374" s="33"/>
      <c r="I374" s="20"/>
      <c r="J374" s="20"/>
      <c r="K374" s="20"/>
      <c r="L374" s="20"/>
      <c r="M374" s="40"/>
    </row>
    <row r="375" spans="1:13" x14ac:dyDescent="0.25">
      <c r="A375" s="42"/>
      <c r="B375" s="44"/>
      <c r="C375" s="16" t="s">
        <v>223</v>
      </c>
      <c r="D375" s="20">
        <f t="shared" si="73"/>
        <v>74.2</v>
      </c>
      <c r="E375" s="6"/>
      <c r="F375" s="6"/>
      <c r="G375" s="6">
        <v>74.2</v>
      </c>
      <c r="H375" s="33"/>
      <c r="I375" s="20"/>
      <c r="J375" s="20"/>
      <c r="K375" s="20"/>
      <c r="L375" s="20"/>
      <c r="M375" s="40"/>
    </row>
    <row r="376" spans="1:13" x14ac:dyDescent="0.25">
      <c r="A376" s="42"/>
      <c r="B376" s="44"/>
      <c r="C376" s="16" t="s">
        <v>18</v>
      </c>
      <c r="D376" s="20">
        <f t="shared" si="73"/>
        <v>8.3000000000000007</v>
      </c>
      <c r="E376" s="6"/>
      <c r="F376" s="6"/>
      <c r="G376" s="6">
        <v>8.3000000000000007</v>
      </c>
      <c r="H376" s="33"/>
      <c r="I376" s="20"/>
      <c r="J376" s="20"/>
      <c r="K376" s="20"/>
      <c r="L376" s="20"/>
      <c r="M376" s="40"/>
    </row>
    <row r="377" spans="1:13" ht="13.8" customHeight="1" x14ac:dyDescent="0.25">
      <c r="A377" s="42"/>
      <c r="B377" s="44"/>
      <c r="C377" s="16" t="s">
        <v>19</v>
      </c>
      <c r="D377" s="20">
        <f t="shared" si="73"/>
        <v>20.3</v>
      </c>
      <c r="E377" s="6"/>
      <c r="F377" s="6"/>
      <c r="G377" s="6">
        <v>20.3</v>
      </c>
      <c r="H377" s="33"/>
      <c r="I377" s="20"/>
      <c r="J377" s="20"/>
      <c r="K377" s="20"/>
      <c r="L377" s="20"/>
      <c r="M377" s="40"/>
    </row>
    <row r="378" spans="1:13" x14ac:dyDescent="0.25">
      <c r="A378" s="42" t="s">
        <v>214</v>
      </c>
      <c r="B378" s="44" t="s">
        <v>20</v>
      </c>
      <c r="C378" s="16" t="s">
        <v>17</v>
      </c>
      <c r="D378" s="20">
        <f t="shared" si="73"/>
        <v>66.2</v>
      </c>
      <c r="E378" s="6"/>
      <c r="F378" s="6"/>
      <c r="G378" s="6">
        <f>SUM(G379:G381)</f>
        <v>66.2</v>
      </c>
      <c r="H378" s="33"/>
      <c r="I378" s="20"/>
      <c r="J378" s="20"/>
      <c r="K378" s="20"/>
      <c r="L378" s="20"/>
      <c r="M378" s="40"/>
    </row>
    <row r="379" spans="1:13" x14ac:dyDescent="0.25">
      <c r="A379" s="42"/>
      <c r="B379" s="44"/>
      <c r="C379" s="16" t="s">
        <v>223</v>
      </c>
      <c r="D379" s="20">
        <f t="shared" si="73"/>
        <v>5.4</v>
      </c>
      <c r="E379" s="6"/>
      <c r="F379" s="6"/>
      <c r="G379" s="6">
        <v>5.4</v>
      </c>
      <c r="H379" s="33"/>
      <c r="I379" s="20"/>
      <c r="J379" s="20"/>
      <c r="K379" s="20"/>
      <c r="L379" s="20"/>
      <c r="M379" s="40"/>
    </row>
    <row r="380" spans="1:13" x14ac:dyDescent="0.25">
      <c r="A380" s="42"/>
      <c r="B380" s="44"/>
      <c r="C380" s="16" t="s">
        <v>18</v>
      </c>
      <c r="D380" s="20">
        <f t="shared" si="73"/>
        <v>0.6</v>
      </c>
      <c r="E380" s="6"/>
      <c r="F380" s="6"/>
      <c r="G380" s="6">
        <v>0.6</v>
      </c>
      <c r="H380" s="33"/>
      <c r="I380" s="20"/>
      <c r="J380" s="20"/>
      <c r="K380" s="20"/>
      <c r="L380" s="20"/>
      <c r="M380" s="40"/>
    </row>
    <row r="381" spans="1:13" x14ac:dyDescent="0.25">
      <c r="A381" s="42"/>
      <c r="B381" s="44"/>
      <c r="C381" s="16" t="s">
        <v>19</v>
      </c>
      <c r="D381" s="20">
        <f t="shared" si="73"/>
        <v>60.2</v>
      </c>
      <c r="E381" s="6"/>
      <c r="F381" s="6"/>
      <c r="G381" s="6">
        <v>60.2</v>
      </c>
      <c r="H381" s="33"/>
      <c r="I381" s="20"/>
      <c r="J381" s="20"/>
      <c r="K381" s="20"/>
      <c r="L381" s="20"/>
      <c r="M381" s="40"/>
    </row>
    <row r="382" spans="1:13" ht="20.399999999999999" x14ac:dyDescent="0.25">
      <c r="A382" s="15" t="s">
        <v>216</v>
      </c>
      <c r="B382" s="16" t="s">
        <v>20</v>
      </c>
      <c r="C382" s="16" t="s">
        <v>16</v>
      </c>
      <c r="D382" s="20"/>
      <c r="E382" s="6"/>
      <c r="F382" s="6"/>
      <c r="G382" s="6"/>
      <c r="H382" s="33"/>
      <c r="I382" s="20"/>
      <c r="J382" s="20"/>
      <c r="K382" s="20"/>
      <c r="L382" s="20"/>
      <c r="M382" s="23"/>
    </row>
    <row r="383" spans="1:13" ht="30.6" x14ac:dyDescent="0.25">
      <c r="A383" s="17" t="s">
        <v>217</v>
      </c>
      <c r="B383" s="16" t="s">
        <v>20</v>
      </c>
      <c r="C383" s="16" t="s">
        <v>16</v>
      </c>
      <c r="D383" s="20">
        <f t="shared" ref="D383:D399" si="75">SUM(E383:L383)</f>
        <v>20</v>
      </c>
      <c r="E383" s="6"/>
      <c r="F383" s="6"/>
      <c r="G383" s="6">
        <v>20</v>
      </c>
      <c r="H383" s="33"/>
      <c r="I383" s="20"/>
      <c r="J383" s="20"/>
      <c r="K383" s="20"/>
      <c r="L383" s="20"/>
      <c r="M383" s="23" t="s">
        <v>220</v>
      </c>
    </row>
    <row r="384" spans="1:13" ht="13.8" customHeight="1" x14ac:dyDescent="0.25">
      <c r="A384" s="17" t="s">
        <v>282</v>
      </c>
      <c r="B384" s="16" t="s">
        <v>20</v>
      </c>
      <c r="C384" s="16" t="s">
        <v>16</v>
      </c>
      <c r="D384" s="20">
        <f t="shared" si="75"/>
        <v>1.2</v>
      </c>
      <c r="E384" s="6"/>
      <c r="F384" s="6"/>
      <c r="G384" s="6">
        <v>1.2</v>
      </c>
      <c r="H384" s="33"/>
      <c r="I384" s="20"/>
      <c r="J384" s="20"/>
      <c r="K384" s="20"/>
      <c r="L384" s="20"/>
      <c r="M384" s="23" t="s">
        <v>151</v>
      </c>
    </row>
    <row r="385" spans="1:13" ht="30.6" x14ac:dyDescent="0.25">
      <c r="A385" s="17" t="s">
        <v>218</v>
      </c>
      <c r="B385" s="16" t="s">
        <v>20</v>
      </c>
      <c r="C385" s="16" t="s">
        <v>16</v>
      </c>
      <c r="D385" s="20">
        <f t="shared" si="75"/>
        <v>7.1</v>
      </c>
      <c r="E385" s="6"/>
      <c r="F385" s="6"/>
      <c r="G385" s="6">
        <v>7.1</v>
      </c>
      <c r="H385" s="33"/>
      <c r="I385" s="20"/>
      <c r="J385" s="20"/>
      <c r="K385" s="20"/>
      <c r="L385" s="20"/>
      <c r="M385" s="23" t="s">
        <v>221</v>
      </c>
    </row>
    <row r="386" spans="1:13" ht="20.399999999999999" x14ac:dyDescent="0.25">
      <c r="A386" s="17" t="s">
        <v>219</v>
      </c>
      <c r="B386" s="16" t="s">
        <v>20</v>
      </c>
      <c r="C386" s="16" t="s">
        <v>16</v>
      </c>
      <c r="D386" s="20">
        <f t="shared" si="75"/>
        <v>9.6</v>
      </c>
      <c r="E386" s="6"/>
      <c r="F386" s="6"/>
      <c r="G386" s="6">
        <v>9.6</v>
      </c>
      <c r="H386" s="33"/>
      <c r="I386" s="20"/>
      <c r="J386" s="20"/>
      <c r="K386" s="20"/>
      <c r="L386" s="20"/>
      <c r="M386" s="23" t="s">
        <v>222</v>
      </c>
    </row>
    <row r="387" spans="1:13" ht="20.399999999999999" x14ac:dyDescent="0.25">
      <c r="A387" s="17" t="s">
        <v>234</v>
      </c>
      <c r="B387" s="16" t="s">
        <v>20</v>
      </c>
      <c r="C387" s="16" t="s">
        <v>16</v>
      </c>
      <c r="D387" s="20">
        <f t="shared" si="75"/>
        <v>99</v>
      </c>
      <c r="E387" s="6"/>
      <c r="F387" s="6"/>
      <c r="G387" s="6"/>
      <c r="H387" s="33">
        <f>99-99</f>
        <v>0</v>
      </c>
      <c r="I387" s="20"/>
      <c r="J387" s="20"/>
      <c r="K387" s="20"/>
      <c r="L387" s="20">
        <f>99</f>
        <v>99</v>
      </c>
      <c r="M387" s="23" t="s">
        <v>235</v>
      </c>
    </row>
    <row r="388" spans="1:13" ht="20.399999999999999" x14ac:dyDescent="0.25">
      <c r="A388" s="17" t="s">
        <v>273</v>
      </c>
      <c r="B388" s="16" t="s">
        <v>237</v>
      </c>
      <c r="C388" s="16" t="s">
        <v>16</v>
      </c>
      <c r="D388" s="20">
        <f t="shared" si="75"/>
        <v>530</v>
      </c>
      <c r="E388" s="6"/>
      <c r="F388" s="6"/>
      <c r="G388" s="6"/>
      <c r="H388" s="33">
        <f>580-50</f>
        <v>530</v>
      </c>
      <c r="I388" s="20"/>
      <c r="J388" s="20"/>
      <c r="K388" s="20"/>
      <c r="L388" s="20"/>
      <c r="M388" s="23" t="s">
        <v>254</v>
      </c>
    </row>
    <row r="389" spans="1:13" ht="20.399999999999999" x14ac:dyDescent="0.25">
      <c r="A389" s="17" t="s">
        <v>247</v>
      </c>
      <c r="B389" s="16" t="s">
        <v>20</v>
      </c>
      <c r="C389" s="16" t="s">
        <v>16</v>
      </c>
      <c r="D389" s="20">
        <f t="shared" si="75"/>
        <v>65.3</v>
      </c>
      <c r="E389" s="6"/>
      <c r="F389" s="6"/>
      <c r="G389" s="6"/>
      <c r="H389" s="33">
        <f>79.1-13.8</f>
        <v>65.3</v>
      </c>
      <c r="I389" s="20"/>
      <c r="J389" s="20"/>
      <c r="K389" s="20"/>
      <c r="L389" s="20"/>
      <c r="M389" s="23" t="s">
        <v>151</v>
      </c>
    </row>
    <row r="390" spans="1:13" x14ac:dyDescent="0.25">
      <c r="A390" s="17" t="s">
        <v>255</v>
      </c>
      <c r="B390" s="16" t="s">
        <v>20</v>
      </c>
      <c r="C390" s="16" t="s">
        <v>16</v>
      </c>
      <c r="D390" s="20">
        <f t="shared" si="75"/>
        <v>31.4</v>
      </c>
      <c r="E390" s="6"/>
      <c r="F390" s="6"/>
      <c r="G390" s="6"/>
      <c r="H390" s="33">
        <v>31.4</v>
      </c>
      <c r="I390" s="20"/>
      <c r="J390" s="20"/>
      <c r="K390" s="20"/>
      <c r="L390" s="20"/>
      <c r="M390" s="23" t="s">
        <v>151</v>
      </c>
    </row>
    <row r="391" spans="1:13" x14ac:dyDescent="0.25">
      <c r="A391" s="17" t="s">
        <v>256</v>
      </c>
      <c r="B391" s="16" t="s">
        <v>20</v>
      </c>
      <c r="C391" s="16" t="s">
        <v>16</v>
      </c>
      <c r="D391" s="20">
        <f t="shared" ref="D391:D392" si="76">SUM(E391:L391)</f>
        <v>70.8</v>
      </c>
      <c r="E391" s="6"/>
      <c r="F391" s="6"/>
      <c r="G391" s="6"/>
      <c r="H391" s="33">
        <v>70.8</v>
      </c>
      <c r="I391" s="20"/>
      <c r="J391" s="20"/>
      <c r="K391" s="20"/>
      <c r="L391" s="20"/>
      <c r="M391" s="23" t="s">
        <v>151</v>
      </c>
    </row>
    <row r="392" spans="1:13" ht="20.399999999999999" x14ac:dyDescent="0.25">
      <c r="A392" s="17" t="s">
        <v>302</v>
      </c>
      <c r="B392" s="16" t="s">
        <v>237</v>
      </c>
      <c r="C392" s="16" t="s">
        <v>16</v>
      </c>
      <c r="D392" s="20">
        <f t="shared" si="76"/>
        <v>3.9</v>
      </c>
      <c r="E392" s="6"/>
      <c r="F392" s="6"/>
      <c r="G392" s="6"/>
      <c r="H392" s="33">
        <v>3.9</v>
      </c>
      <c r="I392" s="20"/>
      <c r="J392" s="20"/>
      <c r="K392" s="20"/>
      <c r="L392" s="20"/>
      <c r="M392" s="23" t="s">
        <v>151</v>
      </c>
    </row>
    <row r="393" spans="1:13" ht="20.399999999999999" x14ac:dyDescent="0.25">
      <c r="A393" s="17" t="s">
        <v>301</v>
      </c>
      <c r="B393" s="16" t="s">
        <v>300</v>
      </c>
      <c r="C393" s="16" t="s">
        <v>16</v>
      </c>
      <c r="D393" s="20">
        <f t="shared" si="75"/>
        <v>105</v>
      </c>
      <c r="E393" s="6"/>
      <c r="F393" s="6"/>
      <c r="G393" s="6"/>
      <c r="H393" s="33">
        <v>105</v>
      </c>
      <c r="I393" s="20"/>
      <c r="J393" s="20"/>
      <c r="K393" s="20"/>
      <c r="L393" s="20"/>
      <c r="M393" s="23" t="s">
        <v>151</v>
      </c>
    </row>
    <row r="394" spans="1:13" ht="20.399999999999999" x14ac:dyDescent="0.25">
      <c r="A394" s="17" t="s">
        <v>323</v>
      </c>
      <c r="B394" s="16" t="s">
        <v>237</v>
      </c>
      <c r="C394" s="16" t="s">
        <v>16</v>
      </c>
      <c r="D394" s="20">
        <f t="shared" ref="D394" si="77">SUM(E394:L394)</f>
        <v>40</v>
      </c>
      <c r="E394" s="6"/>
      <c r="F394" s="6"/>
      <c r="G394" s="6"/>
      <c r="H394" s="33">
        <v>40</v>
      </c>
      <c r="I394" s="20"/>
      <c r="J394" s="20"/>
      <c r="K394" s="20"/>
      <c r="L394" s="20"/>
      <c r="M394" s="23" t="s">
        <v>327</v>
      </c>
    </row>
    <row r="395" spans="1:13" ht="40.799999999999997" x14ac:dyDescent="0.25">
      <c r="A395" s="17" t="s">
        <v>333</v>
      </c>
      <c r="B395" s="16" t="s">
        <v>113</v>
      </c>
      <c r="C395" s="16" t="s">
        <v>16</v>
      </c>
      <c r="D395" s="20">
        <f t="shared" ref="D395:D396" si="78">SUM(E395:L395)</f>
        <v>90</v>
      </c>
      <c r="E395" s="6"/>
      <c r="F395" s="6"/>
      <c r="G395" s="6"/>
      <c r="H395" s="33"/>
      <c r="I395" s="20">
        <v>90</v>
      </c>
      <c r="J395" s="20"/>
      <c r="K395" s="20"/>
      <c r="L395" s="20"/>
      <c r="M395" s="23" t="s">
        <v>352</v>
      </c>
    </row>
    <row r="396" spans="1:13" ht="20.399999999999999" x14ac:dyDescent="0.25">
      <c r="A396" s="22" t="s">
        <v>355</v>
      </c>
      <c r="B396" s="24" t="s">
        <v>237</v>
      </c>
      <c r="C396" s="24" t="s">
        <v>16</v>
      </c>
      <c r="D396" s="20">
        <f t="shared" si="78"/>
        <v>25.6</v>
      </c>
      <c r="E396" s="6"/>
      <c r="F396" s="6"/>
      <c r="G396" s="6"/>
      <c r="H396" s="33">
        <v>25.6</v>
      </c>
      <c r="I396" s="20"/>
      <c r="J396" s="20"/>
      <c r="K396" s="20"/>
      <c r="L396" s="20"/>
      <c r="M396" s="23" t="s">
        <v>151</v>
      </c>
    </row>
    <row r="397" spans="1:13" x14ac:dyDescent="0.25">
      <c r="A397" s="43" t="s">
        <v>44</v>
      </c>
      <c r="B397" s="43"/>
      <c r="C397" s="43"/>
      <c r="D397" s="20">
        <f>SUM(E397:L397)</f>
        <v>37758.461860000003</v>
      </c>
      <c r="E397" s="6">
        <f>SUM(E398:E400)</f>
        <v>4545.7999999999993</v>
      </c>
      <c r="F397" s="6">
        <f t="shared" ref="F397:L397" si="79">SUM(F398:F400)</f>
        <v>4241.5</v>
      </c>
      <c r="G397" s="6">
        <f t="shared" si="79"/>
        <v>5256.7</v>
      </c>
      <c r="H397" s="33">
        <f t="shared" si="79"/>
        <v>6112.8000000000011</v>
      </c>
      <c r="I397" s="20">
        <f t="shared" si="79"/>
        <v>5243.2263600000006</v>
      </c>
      <c r="J397" s="20">
        <f t="shared" si="79"/>
        <v>3246.9424800000002</v>
      </c>
      <c r="K397" s="20">
        <f t="shared" si="79"/>
        <v>2534.7659100000001</v>
      </c>
      <c r="L397" s="20">
        <f t="shared" si="79"/>
        <v>6576.7271100000007</v>
      </c>
      <c r="M397" s="22"/>
    </row>
    <row r="398" spans="1:13" x14ac:dyDescent="0.25">
      <c r="A398" s="43" t="s">
        <v>223</v>
      </c>
      <c r="B398" s="43"/>
      <c r="C398" s="43"/>
      <c r="D398" s="20">
        <f>SUM(E398:L398)</f>
        <v>79.600000000000009</v>
      </c>
      <c r="E398" s="6">
        <f>SUM(SUMIFS(E339:E350,$C339:$C350,"*федеральный бюджет*"),SUMIFS(E353:E360,$C353:$C360,"*федеральный бюджет*"),SUMIFS(E364:E373,$C364:$C373,"*федеральный бюджет*"),SUMIFS(E383:E396,$C383:$C396,"*федеральный бюджет*"))</f>
        <v>0</v>
      </c>
      <c r="F398" s="6">
        <f t="shared" ref="F398:L398" si="80">SUM(SUMIFS(F339:F350,$C339:$C350,"*федеральный бюджет*"),SUMIFS(F353:F360,$C353:$C360,"*федеральный бюджет*"),SUMIFS(F364:F373,$C364:$C373,"*федеральный бюджет*"),SUMIFS(F383:F396,$C383:$C396,"*федеральный бюджет*"))</f>
        <v>0</v>
      </c>
      <c r="G398" s="6">
        <f t="shared" si="80"/>
        <v>79.600000000000009</v>
      </c>
      <c r="H398" s="33">
        <f t="shared" si="80"/>
        <v>0</v>
      </c>
      <c r="I398" s="20">
        <f t="shared" si="80"/>
        <v>0</v>
      </c>
      <c r="J398" s="20">
        <f t="shared" si="80"/>
        <v>0</v>
      </c>
      <c r="K398" s="20">
        <f t="shared" si="80"/>
        <v>0</v>
      </c>
      <c r="L398" s="20">
        <f t="shared" si="80"/>
        <v>0</v>
      </c>
      <c r="M398" s="22"/>
    </row>
    <row r="399" spans="1:13" x14ac:dyDescent="0.25">
      <c r="A399" s="43" t="s">
        <v>18</v>
      </c>
      <c r="B399" s="43"/>
      <c r="C399" s="43"/>
      <c r="D399" s="20">
        <f t="shared" si="75"/>
        <v>678.54891999999995</v>
      </c>
      <c r="E399" s="6">
        <f>SUM(SUMIFS(E339:E350,$C339:$C350,"*областной бюджет*"),SUMIFS(E353:E360,$C353:$C360,"*областной бюджет*"),SUMIFS(E364:E373,$C364:$C373,"*областной бюджет*"),SUMIFS(E383:E396,$C383:$C396,"*областной бюджет*"))</f>
        <v>420.4</v>
      </c>
      <c r="F399" s="6">
        <f t="shared" ref="F399:L399" si="81">SUM(SUMIFS(F339:F350,$C339:$C350,"*областной бюджет*"),SUMIFS(F353:F360,$C353:$C360,"*областной бюджет*"),SUMIFS(F364:F373,$C364:$C373,"*областной бюджет*"),SUMIFS(F383:F396,$C383:$C396,"*областной бюджет*"))</f>
        <v>159.69999999999999</v>
      </c>
      <c r="G399" s="6">
        <f t="shared" si="81"/>
        <v>24.1</v>
      </c>
      <c r="H399" s="33">
        <f t="shared" si="81"/>
        <v>64.599999999999994</v>
      </c>
      <c r="I399" s="20">
        <f t="shared" si="81"/>
        <v>2.43723</v>
      </c>
      <c r="J399" s="20">
        <f t="shared" si="81"/>
        <v>2.43723</v>
      </c>
      <c r="K399" s="20">
        <f t="shared" si="81"/>
        <v>2.43723</v>
      </c>
      <c r="L399" s="20">
        <f t="shared" si="81"/>
        <v>2.43723</v>
      </c>
      <c r="M399" s="22"/>
    </row>
    <row r="400" spans="1:13" x14ac:dyDescent="0.25">
      <c r="A400" s="43" t="s">
        <v>19</v>
      </c>
      <c r="B400" s="43"/>
      <c r="C400" s="43"/>
      <c r="D400" s="20">
        <f t="shared" ref="D400" si="82">SUM(E400:L400)</f>
        <v>37000.312940000003</v>
      </c>
      <c r="E400" s="6">
        <f>SUM(SUMIFS(E339:E350,$C339:$C350,"*местный бюджет*"),SUMIFS(E353:E360,$C353:$C360,"*местный бюджет*"),SUMIFS(E364:E373,$C364:$C373,"*местный бюджет*"),SUMIFS(E383:E396,$C383:$C396,"*местный бюджет*"))</f>
        <v>4125.3999999999996</v>
      </c>
      <c r="F400" s="6">
        <f t="shared" ref="F400:L400" si="83">SUM(SUMIFS(F339:F350,$C339:$C350,"*местный бюджет*"),SUMIFS(F353:F360,$C353:$C360,"*местный бюджет*"),SUMIFS(F364:F373,$C364:$C373,"*местный бюджет*"),SUMIFS(F383:F396,$C383:$C396,"*местный бюджет*"))</f>
        <v>4081.8</v>
      </c>
      <c r="G400" s="6">
        <f t="shared" si="83"/>
        <v>5153</v>
      </c>
      <c r="H400" s="33">
        <f t="shared" si="83"/>
        <v>6048.2000000000007</v>
      </c>
      <c r="I400" s="20">
        <f t="shared" si="83"/>
        <v>5240.7891300000001</v>
      </c>
      <c r="J400" s="20">
        <f t="shared" si="83"/>
        <v>3244.5052500000002</v>
      </c>
      <c r="K400" s="20">
        <f t="shared" si="83"/>
        <v>2532.3286800000001</v>
      </c>
      <c r="L400" s="20">
        <f t="shared" si="83"/>
        <v>6574.2898800000003</v>
      </c>
      <c r="M400" s="22"/>
    </row>
    <row r="401" spans="1:13" x14ac:dyDescent="0.25">
      <c r="A401" s="43" t="s">
        <v>45</v>
      </c>
      <c r="B401" s="43"/>
      <c r="C401" s="43"/>
      <c r="D401" s="20">
        <f>SUM(E401:L401)</f>
        <v>301372.44892</v>
      </c>
      <c r="E401" s="6">
        <f>SUM(E402:E404)</f>
        <v>75189.100000000006</v>
      </c>
      <c r="F401" s="6">
        <f t="shared" ref="F401:L401" si="84">SUM(F402:F404)</f>
        <v>25315.3</v>
      </c>
      <c r="G401" s="6">
        <f t="shared" si="84"/>
        <v>34535.9</v>
      </c>
      <c r="H401" s="33">
        <f t="shared" si="84"/>
        <v>108525.20000000001</v>
      </c>
      <c r="I401" s="20">
        <f t="shared" si="84"/>
        <v>14210.43723</v>
      </c>
      <c r="J401" s="20">
        <f t="shared" si="84"/>
        <v>14529.63723</v>
      </c>
      <c r="K401" s="20">
        <f t="shared" si="84"/>
        <v>14856.43723</v>
      </c>
      <c r="L401" s="20">
        <f t="shared" si="84"/>
        <v>14210.43723</v>
      </c>
      <c r="M401" s="22"/>
    </row>
    <row r="402" spans="1:13" x14ac:dyDescent="0.25">
      <c r="A402" s="43" t="s">
        <v>223</v>
      </c>
      <c r="B402" s="43"/>
      <c r="C402" s="43"/>
      <c r="D402" s="20">
        <f>SUM(E402:L402)</f>
        <v>79.600000000000009</v>
      </c>
      <c r="E402" s="6">
        <f>SUM(E398)</f>
        <v>0</v>
      </c>
      <c r="F402" s="6">
        <f t="shared" ref="F402:L402" si="85">SUM(F398)</f>
        <v>0</v>
      </c>
      <c r="G402" s="6">
        <f t="shared" si="85"/>
        <v>79.600000000000009</v>
      </c>
      <c r="H402" s="33">
        <f t="shared" si="85"/>
        <v>0</v>
      </c>
      <c r="I402" s="20">
        <f t="shared" si="85"/>
        <v>0</v>
      </c>
      <c r="J402" s="20">
        <f t="shared" si="85"/>
        <v>0</v>
      </c>
      <c r="K402" s="20">
        <f t="shared" si="85"/>
        <v>0</v>
      </c>
      <c r="L402" s="20">
        <f t="shared" si="85"/>
        <v>0</v>
      </c>
      <c r="M402" s="22"/>
    </row>
    <row r="403" spans="1:13" ht="13.8" thickBot="1" x14ac:dyDescent="0.3">
      <c r="A403" s="43" t="s">
        <v>18</v>
      </c>
      <c r="B403" s="43"/>
      <c r="C403" s="43"/>
      <c r="D403" s="20">
        <f>SUM(E403:L403)</f>
        <v>158146.94892000002</v>
      </c>
      <c r="E403" s="6">
        <f t="shared" ref="E403:L404" si="86">SUM(E243,E336,E399)</f>
        <v>12634.3</v>
      </c>
      <c r="F403" s="6">
        <f t="shared" si="86"/>
        <v>25315.3</v>
      </c>
      <c r="G403" s="6">
        <f t="shared" si="86"/>
        <v>34456.300000000003</v>
      </c>
      <c r="H403" s="33">
        <f t="shared" si="86"/>
        <v>27934.1</v>
      </c>
      <c r="I403" s="20">
        <f t="shared" si="86"/>
        <v>14210.43723</v>
      </c>
      <c r="J403" s="20">
        <f t="shared" si="86"/>
        <v>14529.63723</v>
      </c>
      <c r="K403" s="20">
        <f t="shared" si="86"/>
        <v>14856.43723</v>
      </c>
      <c r="L403" s="20">
        <f t="shared" si="86"/>
        <v>14210.43723</v>
      </c>
      <c r="M403" s="22"/>
    </row>
    <row r="404" spans="1:13" ht="16.8" customHeight="1" thickBot="1" x14ac:dyDescent="0.3">
      <c r="A404" s="43" t="s">
        <v>19</v>
      </c>
      <c r="B404" s="43"/>
      <c r="C404" s="43"/>
      <c r="D404" s="20">
        <v>527370.71057999996</v>
      </c>
      <c r="E404" s="6">
        <v>62554.8</v>
      </c>
      <c r="F404" s="57" t="s">
        <v>364</v>
      </c>
      <c r="G404" s="58" t="s">
        <v>365</v>
      </c>
      <c r="H404" s="33">
        <v>80591.100000000006</v>
      </c>
      <c r="I404" s="20" t="s">
        <v>366</v>
      </c>
      <c r="J404" s="20" t="s">
        <v>367</v>
      </c>
      <c r="K404" s="20" t="s">
        <v>368</v>
      </c>
      <c r="L404" s="57" t="s">
        <v>369</v>
      </c>
      <c r="M404" s="22"/>
    </row>
    <row r="405" spans="1:13" x14ac:dyDescent="0.25">
      <c r="A405" s="10"/>
      <c r="B405" s="10"/>
      <c r="C405" s="10"/>
      <c r="D405" s="10"/>
      <c r="E405" s="10"/>
      <c r="F405" s="10"/>
      <c r="G405" s="10"/>
      <c r="H405" s="35"/>
      <c r="I405" s="10"/>
      <c r="J405" s="10"/>
      <c r="K405" s="10"/>
      <c r="L405" s="56"/>
      <c r="M405" s="10"/>
    </row>
    <row r="406" spans="1:13" x14ac:dyDescent="0.25">
      <c r="A406" s="10"/>
      <c r="B406" s="10"/>
      <c r="C406" s="10"/>
      <c r="D406" s="10"/>
      <c r="E406" s="55"/>
      <c r="F406" s="10"/>
      <c r="G406" s="10"/>
      <c r="H406" s="36"/>
      <c r="I406" s="27"/>
      <c r="J406" s="10"/>
      <c r="K406" s="10"/>
      <c r="L406" s="10"/>
      <c r="M406" s="10"/>
    </row>
  </sheetData>
  <mergeCells count="166">
    <mergeCell ref="M79:M120"/>
    <mergeCell ref="M250:M267"/>
    <mergeCell ref="M154:M161"/>
    <mergeCell ref="M63:M78"/>
    <mergeCell ref="M176:M178"/>
    <mergeCell ref="M121:M140"/>
    <mergeCell ref="M141:M152"/>
    <mergeCell ref="A141:A143"/>
    <mergeCell ref="B141:B143"/>
    <mergeCell ref="A102:A104"/>
    <mergeCell ref="B102:B104"/>
    <mergeCell ref="B147:B149"/>
    <mergeCell ref="A147:A149"/>
    <mergeCell ref="A133:A135"/>
    <mergeCell ref="B133:B135"/>
    <mergeCell ref="A176:A178"/>
    <mergeCell ref="A121:A123"/>
    <mergeCell ref="B105:B107"/>
    <mergeCell ref="A108:A110"/>
    <mergeCell ref="B108:B110"/>
    <mergeCell ref="B176:B178"/>
    <mergeCell ref="A87:A89"/>
    <mergeCell ref="B87:B89"/>
    <mergeCell ref="A99:A101"/>
    <mergeCell ref="A117:A119"/>
    <mergeCell ref="B117:B119"/>
    <mergeCell ref="A52:A54"/>
    <mergeCell ref="B99:B101"/>
    <mergeCell ref="B96:B98"/>
    <mergeCell ref="B63:B65"/>
    <mergeCell ref="A90:A92"/>
    <mergeCell ref="B90:B92"/>
    <mergeCell ref="A63:A65"/>
    <mergeCell ref="B93:B95"/>
    <mergeCell ref="A96:A98"/>
    <mergeCell ref="B79:B81"/>
    <mergeCell ref="A79:A81"/>
    <mergeCell ref="A75:A77"/>
    <mergeCell ref="B75:B77"/>
    <mergeCell ref="A72:A74"/>
    <mergeCell ref="B72:B74"/>
    <mergeCell ref="A93:A95"/>
    <mergeCell ref="A105:A107"/>
    <mergeCell ref="A114:A116"/>
    <mergeCell ref="B114:B116"/>
    <mergeCell ref="A404:C404"/>
    <mergeCell ref="A337:C337"/>
    <mergeCell ref="A338:M338"/>
    <mergeCell ref="A397:C397"/>
    <mergeCell ref="A399:C399"/>
    <mergeCell ref="A400:C400"/>
    <mergeCell ref="A401:C401"/>
    <mergeCell ref="B342:B344"/>
    <mergeCell ref="A342:A344"/>
    <mergeCell ref="A403:C403"/>
    <mergeCell ref="M350:M352"/>
    <mergeCell ref="M342:M344"/>
    <mergeCell ref="B378:B381"/>
    <mergeCell ref="A378:A381"/>
    <mergeCell ref="M370:M381"/>
    <mergeCell ref="M360:M363"/>
    <mergeCell ref="A402:C402"/>
    <mergeCell ref="A374:A377"/>
    <mergeCell ref="B374:B377"/>
    <mergeCell ref="A370:A373"/>
    <mergeCell ref="B370:B373"/>
    <mergeCell ref="A398:C398"/>
    <mergeCell ref="M23:M62"/>
    <mergeCell ref="B23:B25"/>
    <mergeCell ref="A23:A25"/>
    <mergeCell ref="A39:A41"/>
    <mergeCell ref="A42:A44"/>
    <mergeCell ref="B42:B44"/>
    <mergeCell ref="B52:B54"/>
    <mergeCell ref="B60:B62"/>
    <mergeCell ref="A60:A62"/>
    <mergeCell ref="A26:A28"/>
    <mergeCell ref="B26:B28"/>
    <mergeCell ref="A49:A51"/>
    <mergeCell ref="B49:B51"/>
    <mergeCell ref="B45:B47"/>
    <mergeCell ref="A32:A34"/>
    <mergeCell ref="B32:B34"/>
    <mergeCell ref="B39:B41"/>
    <mergeCell ref="A36:A38"/>
    <mergeCell ref="B36:B38"/>
    <mergeCell ref="A55:A57"/>
    <mergeCell ref="B55:B57"/>
    <mergeCell ref="A45:A47"/>
    <mergeCell ref="M316:M318"/>
    <mergeCell ref="M304:M306"/>
    <mergeCell ref="M301:M303"/>
    <mergeCell ref="B197:B199"/>
    <mergeCell ref="B121:B123"/>
    <mergeCell ref="A215:A217"/>
    <mergeCell ref="A11:M11"/>
    <mergeCell ref="A12:M12"/>
    <mergeCell ref="A13:M13"/>
    <mergeCell ref="A16:M16"/>
    <mergeCell ref="A15:M15"/>
    <mergeCell ref="A14:M14"/>
    <mergeCell ref="A17:A19"/>
    <mergeCell ref="B17:B19"/>
    <mergeCell ref="M17:M19"/>
    <mergeCell ref="D18:D19"/>
    <mergeCell ref="C17:C19"/>
    <mergeCell ref="D17:L17"/>
    <mergeCell ref="E18:L18"/>
    <mergeCell ref="B206:B208"/>
    <mergeCell ref="M288:M290"/>
    <mergeCell ref="M291:M293"/>
    <mergeCell ref="M284:M286"/>
    <mergeCell ref="A21:M21"/>
    <mergeCell ref="A336:C336"/>
    <mergeCell ref="A284:A286"/>
    <mergeCell ref="B284:B286"/>
    <mergeCell ref="A301:A303"/>
    <mergeCell ref="A304:A306"/>
    <mergeCell ref="A212:A214"/>
    <mergeCell ref="B212:B214"/>
    <mergeCell ref="A291:A293"/>
    <mergeCell ref="B288:B290"/>
    <mergeCell ref="B291:B293"/>
    <mergeCell ref="A335:C335"/>
    <mergeCell ref="B215:B217"/>
    <mergeCell ref="A218:A220"/>
    <mergeCell ref="B218:B220"/>
    <mergeCell ref="A221:A223"/>
    <mergeCell ref="B301:B303"/>
    <mergeCell ref="B304:B306"/>
    <mergeCell ref="A235:A237"/>
    <mergeCell ref="B235:B237"/>
    <mergeCell ref="B221:B223"/>
    <mergeCell ref="B200:B202"/>
    <mergeCell ref="B188:B190"/>
    <mergeCell ref="A206:A208"/>
    <mergeCell ref="B185:B187"/>
    <mergeCell ref="A188:A190"/>
    <mergeCell ref="A203:A205"/>
    <mergeCell ref="B203:B205"/>
    <mergeCell ref="A209:A211"/>
    <mergeCell ref="M235:M237"/>
    <mergeCell ref="M310:M312"/>
    <mergeCell ref="M162:M169"/>
    <mergeCell ref="A245:M245"/>
    <mergeCell ref="A242:C242"/>
    <mergeCell ref="A243:C243"/>
    <mergeCell ref="A244:C244"/>
    <mergeCell ref="M172:M175"/>
    <mergeCell ref="A191:A193"/>
    <mergeCell ref="B191:B193"/>
    <mergeCell ref="A194:A196"/>
    <mergeCell ref="B194:B196"/>
    <mergeCell ref="A197:A199"/>
    <mergeCell ref="A185:A187"/>
    <mergeCell ref="A227:A229"/>
    <mergeCell ref="B227:B229"/>
    <mergeCell ref="A230:A232"/>
    <mergeCell ref="B230:B232"/>
    <mergeCell ref="M185:M232"/>
    <mergeCell ref="A224:A226"/>
    <mergeCell ref="B224:B226"/>
    <mergeCell ref="M277:M280"/>
    <mergeCell ref="A288:A290"/>
    <mergeCell ref="B209:B211"/>
    <mergeCell ref="A200:A202"/>
  </mergeCells>
  <phoneticPr fontId="7" type="noConversion"/>
  <pageMargins left="0.25" right="0.25" top="0.75" bottom="0.75" header="0.3" footer="0.3"/>
  <pageSetup paperSize="9" scale="60" fitToHeight="0" orientation="landscape" r:id="rId1"/>
  <headerFooter alignWithMargins="0"/>
  <rowBreaks count="5" manualBreakCount="5">
    <brk id="59" max="12" man="1"/>
    <brk id="110" max="12" man="1"/>
    <brk id="158" max="12" man="1"/>
    <brk id="199" max="12" man="1"/>
    <brk id="24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неизвестно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jkh3</dc:creator>
  <cp:lastModifiedBy>jkh3</cp:lastModifiedBy>
  <cp:lastPrinted>2021-12-30T06:07:27Z</cp:lastPrinted>
  <dcterms:created xsi:type="dcterms:W3CDTF">2017-09-26T12:49:03Z</dcterms:created>
  <dcterms:modified xsi:type="dcterms:W3CDTF">2022-01-12T07:16:28Z</dcterms:modified>
</cp:coreProperties>
</file>